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Characteristics" sheetId="1" r:id="rId1"/>
    <sheet name="Performance" sheetId="2" r:id="rId2"/>
    <sheet name="Notes" sheetId="3" r:id="rId3"/>
  </sheets>
  <definedNames>
    <definedName name="_xlnm._FilterDatabase" localSheetId="0" hidden="1">Characteristics!$A$1:$O$130</definedName>
    <definedName name="_xlnm._FilterDatabase" localSheetId="1" hidden="1">Performance!$A$1:$I$130</definedName>
  </definedNames>
  <calcPr calcId="124519"/>
</workbook>
</file>

<file path=xl/calcChain.xml><?xml version="1.0" encoding="utf-8"?>
<calcChain xmlns="http://schemas.openxmlformats.org/spreadsheetml/2006/main">
  <c r="B130" i="2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</calcChain>
</file>

<file path=xl/sharedStrings.xml><?xml version="1.0" encoding="utf-8"?>
<sst xmlns="http://schemas.openxmlformats.org/spreadsheetml/2006/main" count="811" uniqueCount="531">
  <si>
    <t>Name</t>
  </si>
  <si>
    <t>Sector</t>
  </si>
  <si>
    <t>Price</t>
  </si>
  <si>
    <t>Dividend Yield</t>
  </si>
  <si>
    <t>Years of Dividend Increases</t>
  </si>
  <si>
    <t>1-Year Dividend Growth</t>
  </si>
  <si>
    <t>5-Year Dividend Growth (Annualized)</t>
  </si>
  <si>
    <t>Dividends Per Share (TTM)</t>
  </si>
  <si>
    <t>Market Cap ($M)</t>
  </si>
  <si>
    <t>Trailing P/E Ratio</t>
  </si>
  <si>
    <t>Payout Ratio</t>
  </si>
  <si>
    <t>Beta</t>
  </si>
  <si>
    <t>52-Week High</t>
  </si>
  <si>
    <t>52-Week Low</t>
  </si>
  <si>
    <t>Ticker</t>
  </si>
  <si>
    <t>ABM</t>
  </si>
  <si>
    <t>ADM</t>
  </si>
  <si>
    <t>ADP</t>
  </si>
  <si>
    <t>AFL</t>
  </si>
  <si>
    <t>ALB</t>
  </si>
  <si>
    <t>ANDE</t>
  </si>
  <si>
    <t>AOS</t>
  </si>
  <si>
    <t>APD</t>
  </si>
  <si>
    <t>AROW</t>
  </si>
  <si>
    <t>ATO</t>
  </si>
  <si>
    <t>ATR</t>
  </si>
  <si>
    <t>AWR</t>
  </si>
  <si>
    <t>BANF</t>
  </si>
  <si>
    <t>BDX</t>
  </si>
  <si>
    <t>BEN</t>
  </si>
  <si>
    <t>BF.B</t>
  </si>
  <si>
    <t>BKH</t>
  </si>
  <si>
    <t>BMI</t>
  </si>
  <si>
    <t>BRC</t>
  </si>
  <si>
    <t>BRO</t>
  </si>
  <si>
    <t>CAH</t>
  </si>
  <si>
    <t>CAT</t>
  </si>
  <si>
    <t>CB</t>
  </si>
  <si>
    <t>CBSH</t>
  </si>
  <si>
    <t>CBU</t>
  </si>
  <si>
    <t>CFR</t>
  </si>
  <si>
    <t>CHD</t>
  </si>
  <si>
    <t>CINF</t>
  </si>
  <si>
    <t>CL</t>
  </si>
  <si>
    <t>CLX</t>
  </si>
  <si>
    <t>CNI</t>
  </si>
  <si>
    <t>CSL</t>
  </si>
  <si>
    <t>CTAS</t>
  </si>
  <si>
    <t>CTBI</t>
  </si>
  <si>
    <t>CVX</t>
  </si>
  <si>
    <t>CWT</t>
  </si>
  <si>
    <t>DCI</t>
  </si>
  <si>
    <t>DOV</t>
  </si>
  <si>
    <t>EBTC</t>
  </si>
  <si>
    <t>ECL</t>
  </si>
  <si>
    <t>ED</t>
  </si>
  <si>
    <t>EMR</t>
  </si>
  <si>
    <t>ENB</t>
  </si>
  <si>
    <t>ERIE</t>
  </si>
  <si>
    <t>ESS</t>
  </si>
  <si>
    <t>EXPD</t>
  </si>
  <si>
    <t>FELE</t>
  </si>
  <si>
    <t>FLIC</t>
  </si>
  <si>
    <t>FUL</t>
  </si>
  <si>
    <t>GD</t>
  </si>
  <si>
    <t>GGG</t>
  </si>
  <si>
    <t>GPC</t>
  </si>
  <si>
    <t>GWW</t>
  </si>
  <si>
    <t>HRL</t>
  </si>
  <si>
    <t>IBM</t>
  </si>
  <si>
    <t>ITW</t>
  </si>
  <si>
    <t>JKHY</t>
  </si>
  <si>
    <t>JNJ</t>
  </si>
  <si>
    <t>JW.A</t>
  </si>
  <si>
    <t>KMB</t>
  </si>
  <si>
    <t>KO</t>
  </si>
  <si>
    <t>LANC</t>
  </si>
  <si>
    <t>LECO</t>
  </si>
  <si>
    <t>LEG</t>
  </si>
  <si>
    <t>LIN</t>
  </si>
  <si>
    <t>LOW</t>
  </si>
  <si>
    <t>MATW</t>
  </si>
  <si>
    <t>MCD</t>
  </si>
  <si>
    <t>MCY</t>
  </si>
  <si>
    <t>MDT</t>
  </si>
  <si>
    <t>MDU</t>
  </si>
  <si>
    <t>MGEE</t>
  </si>
  <si>
    <t>MGRC</t>
  </si>
  <si>
    <t>MKC</t>
  </si>
  <si>
    <t>MMM</t>
  </si>
  <si>
    <t>MO</t>
  </si>
  <si>
    <t>MSA</t>
  </si>
  <si>
    <t>NDSN</t>
  </si>
  <si>
    <t>NEE</t>
  </si>
  <si>
    <t>NFG</t>
  </si>
  <si>
    <t>NJR</t>
  </si>
  <si>
    <t>NNN</t>
  </si>
  <si>
    <t>NUE</t>
  </si>
  <si>
    <t>NWN</t>
  </si>
  <si>
    <t>O</t>
  </si>
  <si>
    <t>ORI</t>
  </si>
  <si>
    <t>OZK</t>
  </si>
  <si>
    <t>PBCT</t>
  </si>
  <si>
    <t>PEP</t>
  </si>
  <si>
    <t>PG</t>
  </si>
  <si>
    <t>PH</t>
  </si>
  <si>
    <t>PII</t>
  </si>
  <si>
    <t>PPG</t>
  </si>
  <si>
    <t>RLI</t>
  </si>
  <si>
    <t>RNR</t>
  </si>
  <si>
    <t>ROP</t>
  </si>
  <si>
    <t>RPM</t>
  </si>
  <si>
    <t>RTX</t>
  </si>
  <si>
    <t>SBSI</t>
  </si>
  <si>
    <t>SCL</t>
  </si>
  <si>
    <t>SEIC</t>
  </si>
  <si>
    <t>SHW</t>
  </si>
  <si>
    <t>SJW</t>
  </si>
  <si>
    <t>SON</t>
  </si>
  <si>
    <t>SPGI</t>
  </si>
  <si>
    <t>SRCE</t>
  </si>
  <si>
    <t>SWK</t>
  </si>
  <si>
    <t>SYK</t>
  </si>
  <si>
    <t>SYY</t>
  </si>
  <si>
    <t>TDS</t>
  </si>
  <si>
    <t>TGT</t>
  </si>
  <si>
    <t>THFF</t>
  </si>
  <si>
    <t>TMP</t>
  </si>
  <si>
    <t>TNC</t>
  </si>
  <si>
    <t>TR</t>
  </si>
  <si>
    <t>TRI</t>
  </si>
  <si>
    <t>TROW</t>
  </si>
  <si>
    <t>UBSI</t>
  </si>
  <si>
    <t>UGI</t>
  </si>
  <si>
    <t>UHT</t>
  </si>
  <si>
    <t>UMBF</t>
  </si>
  <si>
    <t>UVV</t>
  </si>
  <si>
    <t>WABC</t>
  </si>
  <si>
    <t>WBA</t>
  </si>
  <si>
    <t>WMT</t>
  </si>
  <si>
    <t>WST</t>
  </si>
  <si>
    <t>WTRG</t>
  </si>
  <si>
    <t>XOM</t>
  </si>
  <si>
    <t>YORW</t>
  </si>
  <si>
    <t>Industrials</t>
  </si>
  <si>
    <t>Consumer Defensive</t>
  </si>
  <si>
    <t>Financial Services</t>
  </si>
  <si>
    <t>Basic Materials</t>
  </si>
  <si>
    <t>Utilities</t>
  </si>
  <si>
    <t>Consumer Cyclical</t>
  </si>
  <si>
    <t>Healthcare</t>
  </si>
  <si>
    <t>Energy</t>
  </si>
  <si>
    <t>Real Estate</t>
  </si>
  <si>
    <t>Technology</t>
  </si>
  <si>
    <t>Communication Services</t>
  </si>
  <si>
    <t>N/A</t>
  </si>
  <si>
    <t>One Month Price Return</t>
  </si>
  <si>
    <t>Three Month Price Return</t>
  </si>
  <si>
    <t>Six Month Price Return</t>
  </si>
  <si>
    <t>Year-To-Date Price Return</t>
  </si>
  <si>
    <t>One Year Price Return</t>
  </si>
  <si>
    <t>Two Year Price Return</t>
  </si>
  <si>
    <t>Five Year Price Return</t>
  </si>
  <si>
    <t>Notes</t>
  </si>
  <si>
    <t>Data Provided by IEX Cloud</t>
  </si>
  <si>
    <t>Data updated on 2022-03-27</t>
  </si>
  <si>
    <t>American States Water Co.</t>
  </si>
  <si>
    <t>$86.97</t>
  </si>
  <si>
    <t>$1.42</t>
  </si>
  <si>
    <t>Dover Corp.</t>
  </si>
  <si>
    <t>$158.28</t>
  </si>
  <si>
    <t>$1.99</t>
  </si>
  <si>
    <t>Genuine Parts Co.</t>
  </si>
  <si>
    <t>$128.54</t>
  </si>
  <si>
    <t>$3.31</t>
  </si>
  <si>
    <t>Northwest Natural Holding Co</t>
  </si>
  <si>
    <t>$55.05</t>
  </si>
  <si>
    <t>$1.90</t>
  </si>
  <si>
    <t>Emerson Electric Co.</t>
  </si>
  <si>
    <t>$98.51</t>
  </si>
  <si>
    <t>$2.02</t>
  </si>
  <si>
    <t>Procter &amp; Gamble Co.</t>
  </si>
  <si>
    <t>$152.83</t>
  </si>
  <si>
    <t>$3.45</t>
  </si>
  <si>
    <t>Parker-Hannifin Corp.</t>
  </si>
  <si>
    <t>$290.43</t>
  </si>
  <si>
    <t>$4.10</t>
  </si>
  <si>
    <t>3M Co.</t>
  </si>
  <si>
    <t>$150.46</t>
  </si>
  <si>
    <t>$5.85</t>
  </si>
  <si>
    <t>Cincinnati Financial Corp.</t>
  </si>
  <si>
    <t>$136.89</t>
  </si>
  <si>
    <t>$2.56</t>
  </si>
  <si>
    <t>Colgate-Palmolive Co.</t>
  </si>
  <si>
    <t>$74.78</t>
  </si>
  <si>
    <t>$1.78</t>
  </si>
  <si>
    <t>Coca-Cola Co</t>
  </si>
  <si>
    <t>$61.53</t>
  </si>
  <si>
    <t>$1.68</t>
  </si>
  <si>
    <t>Johnson &amp; Johnson</t>
  </si>
  <si>
    <t>$176.92</t>
  </si>
  <si>
    <t>$4.20</t>
  </si>
  <si>
    <t>Lancaster Colony Corp.</t>
  </si>
  <si>
    <t>$153.55</t>
  </si>
  <si>
    <t>$3.08</t>
  </si>
  <si>
    <t>Lowe`s Cos., Inc.</t>
  </si>
  <si>
    <t>$212.92</t>
  </si>
  <si>
    <t>$2.99</t>
  </si>
  <si>
    <t>Illinois Tool Works, Inc.</t>
  </si>
  <si>
    <t>$211.75</t>
  </si>
  <si>
    <t>$4.68</t>
  </si>
  <si>
    <t>Nordson Corp.</t>
  </si>
  <si>
    <t>$227.40</t>
  </si>
  <si>
    <t>$1.91</t>
  </si>
  <si>
    <t>Hormel Foods Corp.</t>
  </si>
  <si>
    <t>$50.70</t>
  </si>
  <si>
    <t>$0.99</t>
  </si>
  <si>
    <t>ABM Industries Inc.</t>
  </si>
  <si>
    <t>$44.99</t>
  </si>
  <si>
    <t>$0.76</t>
  </si>
  <si>
    <t>California Water Service Group</t>
  </si>
  <si>
    <t>$58.26</t>
  </si>
  <si>
    <t>$0.93</t>
  </si>
  <si>
    <t>Stepan Co.</t>
  </si>
  <si>
    <t>$100.89</t>
  </si>
  <si>
    <t>$1.27</t>
  </si>
  <si>
    <t>SJW Group</t>
  </si>
  <si>
    <t>$67.74</t>
  </si>
  <si>
    <t>$1.37</t>
  </si>
  <si>
    <t>Stanley Black &amp; Decker Inc</t>
  </si>
  <si>
    <t>$138.32</t>
  </si>
  <si>
    <t>$3.05</t>
  </si>
  <si>
    <t>Target Corp</t>
  </si>
  <si>
    <t>$218.61</t>
  </si>
  <si>
    <t>$3.36</t>
  </si>
  <si>
    <t>Tootsie Roll Industries, Inc.</t>
  </si>
  <si>
    <t>$35.20</t>
  </si>
  <si>
    <t>$0.35</t>
  </si>
  <si>
    <t>Commerce Bancshares, Inc.</t>
  </si>
  <si>
    <t>$72.86</t>
  </si>
  <si>
    <t>$1.02</t>
  </si>
  <si>
    <t>H.B. Fuller Company</t>
  </si>
  <si>
    <t>$66.86</t>
  </si>
  <si>
    <t>$0.67</t>
  </si>
  <si>
    <t>Altria Group Inc.</t>
  </si>
  <si>
    <t>$53.62</t>
  </si>
  <si>
    <t>$3.47</t>
  </si>
  <si>
    <t>MSA Safety Inc</t>
  </si>
  <si>
    <t>$134.06</t>
  </si>
  <si>
    <t>$1.75</t>
  </si>
  <si>
    <t>National Fuel Gas Co.</t>
  </si>
  <si>
    <t>$68.59</t>
  </si>
  <si>
    <t>$1.79</t>
  </si>
  <si>
    <t>Sysco Corp.</t>
  </si>
  <si>
    <t>$80.91</t>
  </si>
  <si>
    <t>$1.84</t>
  </si>
  <si>
    <t>Becton, Dickinson And Co.</t>
  </si>
  <si>
    <t>$265.67</t>
  </si>
  <si>
    <t>$3.38</t>
  </si>
  <si>
    <t>Black Hills Corporation</t>
  </si>
  <si>
    <t>$74.40</t>
  </si>
  <si>
    <t>$2.29</t>
  </si>
  <si>
    <t>W.W. Grainger Inc.</t>
  </si>
  <si>
    <t>$506.35</t>
  </si>
  <si>
    <t>$6.45</t>
  </si>
  <si>
    <t>Kimberly-Clark Corp.</t>
  </si>
  <si>
    <t>$120.28</t>
  </si>
  <si>
    <t>$4.52</t>
  </si>
  <si>
    <t>Leggett &amp; Platt, Inc.</t>
  </si>
  <si>
    <t>$35.97</t>
  </si>
  <si>
    <t>$1.65</t>
  </si>
  <si>
    <t>PepsiCo Inc</t>
  </si>
  <si>
    <t>$165.24</t>
  </si>
  <si>
    <t>$4.26</t>
  </si>
  <si>
    <t>PPG Industries, Inc.</t>
  </si>
  <si>
    <t>$129.46</t>
  </si>
  <si>
    <t>$2.30</t>
  </si>
  <si>
    <t>Universal Corp.</t>
  </si>
  <si>
    <t>$57.57</t>
  </si>
  <si>
    <t>$3.04</t>
  </si>
  <si>
    <t>S&amp;P Global Inc</t>
  </si>
  <si>
    <t>$413.47</t>
  </si>
  <si>
    <t>$3.07</t>
  </si>
  <si>
    <t>Tennant Co.</t>
  </si>
  <si>
    <t>$80.26</t>
  </si>
  <si>
    <t>$0.96</t>
  </si>
  <si>
    <t>Walmart Inc</t>
  </si>
  <si>
    <t>$143.45</t>
  </si>
  <si>
    <t>$2.20</t>
  </si>
  <si>
    <t>Consolidated Edison, Inc.</t>
  </si>
  <si>
    <t>$92.68</t>
  </si>
  <si>
    <t>Nucor Corp.</t>
  </si>
  <si>
    <t>$157.62</t>
  </si>
  <si>
    <t>$1.70</t>
  </si>
  <si>
    <t>RPM International, Inc.</t>
  </si>
  <si>
    <t>$80.52</t>
  </si>
  <si>
    <t>$1.55</t>
  </si>
  <si>
    <t>Telephone And Data Systems, Inc.</t>
  </si>
  <si>
    <t>$18.91</t>
  </si>
  <si>
    <t>$0.70</t>
  </si>
  <si>
    <t>United Bankshares, Inc.</t>
  </si>
  <si>
    <t>$35.70</t>
  </si>
  <si>
    <t>$1.40</t>
  </si>
  <si>
    <t>Archer Daniels Midland Co.</t>
  </si>
  <si>
    <t>$93.49</t>
  </si>
  <si>
    <t>$1.50</t>
  </si>
  <si>
    <t>Automatic Data Processing Inc.</t>
  </si>
  <si>
    <t>$219.04</t>
  </si>
  <si>
    <t>$3.91</t>
  </si>
  <si>
    <t>McDonald`s Corp</t>
  </si>
  <si>
    <t>$241.58</t>
  </si>
  <si>
    <t>$5.30</t>
  </si>
  <si>
    <t>RLI Corp.</t>
  </si>
  <si>
    <t>$109.38</t>
  </si>
  <si>
    <t>Walgreens Boots Alliance Inc</t>
  </si>
  <si>
    <t>$47.12</t>
  </si>
  <si>
    <t>$1.87</t>
  </si>
  <si>
    <t>Carlisle Companies Inc.</t>
  </si>
  <si>
    <t>$247.31</t>
  </si>
  <si>
    <t>$2.14</t>
  </si>
  <si>
    <t>MGE Energy, Inc.</t>
  </si>
  <si>
    <t>$78.50</t>
  </si>
  <si>
    <t>$1.52</t>
  </si>
  <si>
    <t>Clorox Co.</t>
  </si>
  <si>
    <t>$136.46</t>
  </si>
  <si>
    <t>$4.54</t>
  </si>
  <si>
    <t>Medtronic Plc</t>
  </si>
  <si>
    <t>$108.46</t>
  </si>
  <si>
    <t>$2.50</t>
  </si>
  <si>
    <t>Sherwin-Williams Co.</t>
  </si>
  <si>
    <t>$245.21</t>
  </si>
  <si>
    <t>$2.24</t>
  </si>
  <si>
    <t>Franklin Resources, Inc.</t>
  </si>
  <si>
    <t>$27.83</t>
  </si>
  <si>
    <t>$1.12</t>
  </si>
  <si>
    <t>Community Trust Bancorp, Inc.</t>
  </si>
  <si>
    <t>$42.31</t>
  </si>
  <si>
    <t>$1.56</t>
  </si>
  <si>
    <t>Old Republic International Corp.</t>
  </si>
  <si>
    <t>$26.29</t>
  </si>
  <si>
    <t>$0.85</t>
  </si>
  <si>
    <t>Aflac Inc.</t>
  </si>
  <si>
    <t>$65.53</t>
  </si>
  <si>
    <t>$1.38</t>
  </si>
  <si>
    <t>Air Products &amp; Chemicals Inc.</t>
  </si>
  <si>
    <t>$246.56</t>
  </si>
  <si>
    <t>$5.95</t>
  </si>
  <si>
    <t>Cintas Corporation</t>
  </si>
  <si>
    <t>$413.32</t>
  </si>
  <si>
    <t>$3.59</t>
  </si>
  <si>
    <t>Exxon Mobil Corp.</t>
  </si>
  <si>
    <t>$85.20</t>
  </si>
  <si>
    <t>$3.44</t>
  </si>
  <si>
    <t>Atmos Energy Corp.</t>
  </si>
  <si>
    <t>$118.52</t>
  </si>
  <si>
    <t>$2.59</t>
  </si>
  <si>
    <t>Sonoco Products Co.</t>
  </si>
  <si>
    <t>$61.91</t>
  </si>
  <si>
    <t>Brady Corp.</t>
  </si>
  <si>
    <t>$46.75</t>
  </si>
  <si>
    <t>$0.89</t>
  </si>
  <si>
    <t>T. Rowe Price Group Inc.</t>
  </si>
  <si>
    <t>$148.92</t>
  </si>
  <si>
    <t>$4.38</t>
  </si>
  <si>
    <t>Universal Health Realty Income Trust</t>
  </si>
  <si>
    <t>$58.18</t>
  </si>
  <si>
    <t>$2.76</t>
  </si>
  <si>
    <t>Chevron Corp.</t>
  </si>
  <si>
    <t>$169.31</t>
  </si>
  <si>
    <t>$5.35</t>
  </si>
  <si>
    <t>McCormick &amp; Co., Inc.</t>
  </si>
  <si>
    <t>$97.92</t>
  </si>
  <si>
    <t>Tompkins Financial Corp</t>
  </si>
  <si>
    <t>$80.23</t>
  </si>
  <si>
    <t>Cardinal Health, Inc.</t>
  </si>
  <si>
    <t>$57.96</t>
  </si>
  <si>
    <t>$1.93</t>
  </si>
  <si>
    <t>Donaldson Co. Inc.</t>
  </si>
  <si>
    <t>$52.55</t>
  </si>
  <si>
    <t>$0.87</t>
  </si>
  <si>
    <t>1st Source Corp.</t>
  </si>
  <si>
    <t>$48.58</t>
  </si>
  <si>
    <t>$1.22</t>
  </si>
  <si>
    <t>UGI Corp.</t>
  </si>
  <si>
    <t>$35.80</t>
  </si>
  <si>
    <t>$1.36</t>
  </si>
  <si>
    <t>Mercury General Corp.</t>
  </si>
  <si>
    <t>$55.13</t>
  </si>
  <si>
    <t>$2.49</t>
  </si>
  <si>
    <t>Brown-Forman Corp.</t>
  </si>
  <si>
    <t>$66.65</t>
  </si>
  <si>
    <t>$0.73</t>
  </si>
  <si>
    <t>Erie Indemnity Co.</t>
  </si>
  <si>
    <t>$178.32</t>
  </si>
  <si>
    <t>$4.18</t>
  </si>
  <si>
    <t>Jack Henry &amp; Associates, Inc.</t>
  </si>
  <si>
    <t>$193.34</t>
  </si>
  <si>
    <t>$1.86</t>
  </si>
  <si>
    <t>First Financial Corp. - Indiana</t>
  </si>
  <si>
    <t>$44.95</t>
  </si>
  <si>
    <t>$1.05</t>
  </si>
  <si>
    <t>General Dynamics Corp.</t>
  </si>
  <si>
    <t>$244.36</t>
  </si>
  <si>
    <t>$4.72</t>
  </si>
  <si>
    <t>McGrath Rentcorp</t>
  </si>
  <si>
    <t>$85.22</t>
  </si>
  <si>
    <t>$1.73</t>
  </si>
  <si>
    <t>SEI Investments Co.</t>
  </si>
  <si>
    <t>$60.49</t>
  </si>
  <si>
    <t>$0.77</t>
  </si>
  <si>
    <t>Ecolab, Inc.</t>
  </si>
  <si>
    <t>$177.59</t>
  </si>
  <si>
    <t>$1.97</t>
  </si>
  <si>
    <t>Franklin Electric Co., Inc.</t>
  </si>
  <si>
    <t>$83.68</t>
  </si>
  <si>
    <t>$0.72</t>
  </si>
  <si>
    <t>MDU Resources Group Inc</t>
  </si>
  <si>
    <t>$25.66</t>
  </si>
  <si>
    <t>UMB Financial Corp.</t>
  </si>
  <si>
    <t>$101.47</t>
  </si>
  <si>
    <t>Essential Utilities Inc</t>
  </si>
  <si>
    <t>$49.95</t>
  </si>
  <si>
    <t>Badger Meter Inc.</t>
  </si>
  <si>
    <t>$99.69</t>
  </si>
  <si>
    <t>$0.78</t>
  </si>
  <si>
    <t>Community Bank System, Inc.</t>
  </si>
  <si>
    <t>$71.04</t>
  </si>
  <si>
    <t>$1.69</t>
  </si>
  <si>
    <t>Linde Plc</t>
  </si>
  <si>
    <t>$318.74</t>
  </si>
  <si>
    <t>$4.33</t>
  </si>
  <si>
    <t>People`s United Financial Inc</t>
  </si>
  <si>
    <t>$21.63</t>
  </si>
  <si>
    <t>Roper Technologies Inc</t>
  </si>
  <si>
    <t>$465.86</t>
  </si>
  <si>
    <t>Thomson-Reuters Corp</t>
  </si>
  <si>
    <t>$105.94</t>
  </si>
  <si>
    <t>$1.95</t>
  </si>
  <si>
    <t>Westamerica Bancorporation</t>
  </si>
  <si>
    <t>$62.12</t>
  </si>
  <si>
    <t>$1.64</t>
  </si>
  <si>
    <t>A.O. Smith Corp.</t>
  </si>
  <si>
    <t>$66.97</t>
  </si>
  <si>
    <t>$1.07</t>
  </si>
  <si>
    <t>Aptargroup Inc.</t>
  </si>
  <si>
    <t>$117.24</t>
  </si>
  <si>
    <t>$1.51</t>
  </si>
  <si>
    <t>Brown &amp; Brown, Inc.</t>
  </si>
  <si>
    <t>$70.37</t>
  </si>
  <si>
    <t>$0.39</t>
  </si>
  <si>
    <t>Caterpillar Inc.</t>
  </si>
  <si>
    <t>$223.36</t>
  </si>
  <si>
    <t>Chubb Limited</t>
  </si>
  <si>
    <t>$217.78</t>
  </si>
  <si>
    <t>$3.18</t>
  </si>
  <si>
    <t>Cullen Frost Bankers Inc.</t>
  </si>
  <si>
    <t>$145.82</t>
  </si>
  <si>
    <t>$2.94</t>
  </si>
  <si>
    <t>Enterprise Bancorp, Inc.</t>
  </si>
  <si>
    <t>$38.74</t>
  </si>
  <si>
    <t>$0.75</t>
  </si>
  <si>
    <t>John Wiley &amp; Sons Inc.</t>
  </si>
  <si>
    <t>$54.52</t>
  </si>
  <si>
    <t>Matthews International Corp.</t>
  </si>
  <si>
    <t>$32.54</t>
  </si>
  <si>
    <t>$0.86</t>
  </si>
  <si>
    <t>Southside Bancshares Inc</t>
  </si>
  <si>
    <t>$41.32</t>
  </si>
  <si>
    <t>$1.32</t>
  </si>
  <si>
    <t>Stryker Corp.</t>
  </si>
  <si>
    <t>$266.00</t>
  </si>
  <si>
    <t>$2.58</t>
  </si>
  <si>
    <t>West Pharmaceutical Services, Inc.</t>
  </si>
  <si>
    <t>$405.24</t>
  </si>
  <si>
    <t>Albemarle Corp.</t>
  </si>
  <si>
    <t>$217.58</t>
  </si>
  <si>
    <t>Arrow Financial Corp.</t>
  </si>
  <si>
    <t>$33.36</t>
  </si>
  <si>
    <t>Bancfirst Corp.</t>
  </si>
  <si>
    <t>$83.70</t>
  </si>
  <si>
    <t>$1.39</t>
  </si>
  <si>
    <t>Canadian National Railway Co.</t>
  </si>
  <si>
    <t>$136.17</t>
  </si>
  <si>
    <t>Enbridge Inc</t>
  </si>
  <si>
    <t>$46.36</t>
  </si>
  <si>
    <t>Essex Property Trust, Inc.</t>
  </si>
  <si>
    <t>$341.50</t>
  </si>
  <si>
    <t>$8.28</t>
  </si>
  <si>
    <t>Expeditors International Of Washington, Inc.</t>
  </si>
  <si>
    <t>$102.91</t>
  </si>
  <si>
    <t>$1.16</t>
  </si>
  <si>
    <t>NextEra Energy Inc</t>
  </si>
  <si>
    <t>$83.94</t>
  </si>
  <si>
    <t>$1.57</t>
  </si>
  <si>
    <t>RenaissanceRe Holdings Ltd</t>
  </si>
  <si>
    <t>$152.97</t>
  </si>
  <si>
    <t>$1.44</t>
  </si>
  <si>
    <t>Raytheon Technologies Corporation</t>
  </si>
  <si>
    <t>$102.43</t>
  </si>
  <si>
    <t>Church &amp; Dwight Co., Inc.</t>
  </si>
  <si>
    <t>$97.97</t>
  </si>
  <si>
    <t>International Business Machines Corp.</t>
  </si>
  <si>
    <t>$131.35</t>
  </si>
  <si>
    <t>$6.44</t>
  </si>
  <si>
    <t>Lincoln Electric Holdings, Inc.</t>
  </si>
  <si>
    <t>$134.72</t>
  </si>
  <si>
    <t>$2.08</t>
  </si>
  <si>
    <t>Realty Income Corp.</t>
  </si>
  <si>
    <t>$67.95</t>
  </si>
  <si>
    <t>$2.82</t>
  </si>
  <si>
    <t>Bank OZK</t>
  </si>
  <si>
    <t>$43.80</t>
  </si>
  <si>
    <t>$1.14</t>
  </si>
  <si>
    <t>Polaris Inc</t>
  </si>
  <si>
    <t>$106.50</t>
  </si>
  <si>
    <t>$2.51</t>
  </si>
  <si>
    <t>Graco Inc.</t>
  </si>
  <si>
    <t>$69.32</t>
  </si>
  <si>
    <t>New Jersey Resources Corporation</t>
  </si>
  <si>
    <t>$45.52</t>
  </si>
  <si>
    <t>York Water Co.</t>
  </si>
  <si>
    <t>$44.70</t>
  </si>
  <si>
    <t>National Retail Properties Inc</t>
  </si>
  <si>
    <t>$44.19</t>
  </si>
  <si>
    <t>$2.07</t>
  </si>
  <si>
    <t>First Of Long Island Corp.</t>
  </si>
  <si>
    <t>$20.23</t>
  </si>
  <si>
    <t>Andersons Inc.</t>
  </si>
  <si>
    <t>$55.21</t>
  </si>
  <si>
    <t>Last Update: 1 April 2022</t>
  </si>
  <si>
    <t>Source: Finasko.Com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</si>
</sst>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F8071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wrapText="1"/>
    </xf>
    <xf numFmtId="0" fontId="4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wrapText="1"/>
    </xf>
    <xf numFmtId="0" fontId="5" fillId="3" borderId="6" xfId="0" applyFont="1" applyFill="1" applyBorder="1" applyAlignment="1">
      <alignment horizontal="right" wrapText="1"/>
    </xf>
    <xf numFmtId="10" fontId="5" fillId="3" borderId="6" xfId="0" applyNumberFormat="1" applyFont="1" applyFill="1" applyBorder="1" applyAlignment="1">
      <alignment horizontal="right" wrapText="1"/>
    </xf>
    <xf numFmtId="0" fontId="3" fillId="3" borderId="6" xfId="0" applyFont="1" applyFill="1" applyBorder="1" applyAlignment="1">
      <alignment wrapText="1"/>
    </xf>
    <xf numFmtId="9" fontId="5" fillId="3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5" borderId="4" xfId="0" applyFont="1" applyFill="1" applyBorder="1" applyAlignment="1">
      <alignment vertical="top" wrapText="1"/>
    </xf>
    <xf numFmtId="0" fontId="6" fillId="0" borderId="0" xfId="0" applyFont="1"/>
  </cellXfs>
  <cellStyles count="1">
    <cellStyle name="Normal" xfId="0" builtinId="0"/>
  </cellStyles>
  <dxfs count="26">
    <dxf>
      <numFmt numFmtId="165" formatCode="0.0%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0.0%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0.0%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0.0%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0.0%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0.0%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0.0%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color rgb="FFFFFFFF"/>
      </font>
      <fill>
        <patternFill>
          <bgColor rgb="FF3F807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\$#,##0.0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\$#,##0.0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2" formatCode="0.0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0.0%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0.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6" formatCode="\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\$#,##0.0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0.0%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0.0%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0.0%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\$#,##0.0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u/>
      </font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color rgb="FFFFFFFF"/>
      </font>
      <fill>
        <patternFill>
          <bgColor rgb="FF3F807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39" sqref="B139"/>
    </sheetView>
  </sheetViews>
  <sheetFormatPr defaultRowHeight="15"/>
  <cols>
    <col min="1" max="1" width="25.7109375" customWidth="1"/>
    <col min="2" max="2" width="45.7109375" customWidth="1"/>
    <col min="3" max="3" width="25.7109375" customWidth="1"/>
    <col min="4" max="4" width="10.7109375" customWidth="1"/>
    <col min="5" max="5" width="18.7109375" customWidth="1"/>
    <col min="6" max="6" width="25.7109375" customWidth="1"/>
    <col min="7" max="7" width="34.7109375" customWidth="1"/>
    <col min="8" max="10" width="22.7109375" customWidth="1"/>
    <col min="11" max="11" width="20.7109375" customWidth="1"/>
    <col min="12" max="15" width="15.7109375" customWidth="1"/>
  </cols>
  <sheetData>
    <row r="1" spans="1:18" ht="30.75" thickBot="1">
      <c r="A1" s="2" t="s">
        <v>14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4"/>
      <c r="Q1" s="4"/>
      <c r="R1" s="4"/>
    </row>
    <row r="2" spans="1:18" ht="15.75" thickBot="1">
      <c r="A2" s="5" t="s">
        <v>26</v>
      </c>
      <c r="B2" s="6" t="s">
        <v>166</v>
      </c>
      <c r="C2" s="6" t="s">
        <v>148</v>
      </c>
      <c r="D2" s="7" t="s">
        <v>167</v>
      </c>
      <c r="E2" s="8">
        <v>1.7000000000000001E-2</v>
      </c>
      <c r="F2" s="7">
        <v>66</v>
      </c>
      <c r="G2" s="8">
        <v>0.09</v>
      </c>
      <c r="H2" s="8">
        <v>8.5999999999999993E-2</v>
      </c>
      <c r="I2" s="7" t="s">
        <v>168</v>
      </c>
      <c r="J2" s="7">
        <v>3213.1443949999998</v>
      </c>
      <c r="K2" s="7">
        <v>34.144973010000001</v>
      </c>
      <c r="L2" s="7">
        <v>0.55960217400000001</v>
      </c>
      <c r="M2" s="7">
        <v>0.32523794499999997</v>
      </c>
      <c r="N2" s="7">
        <v>103.33</v>
      </c>
      <c r="O2" s="7">
        <v>73.63</v>
      </c>
      <c r="P2" s="4"/>
      <c r="Q2" s="4"/>
      <c r="R2" s="4"/>
    </row>
    <row r="3" spans="1:18" ht="15.75" thickBot="1">
      <c r="A3" s="5" t="s">
        <v>52</v>
      </c>
      <c r="B3" s="6" t="s">
        <v>169</v>
      </c>
      <c r="C3" s="6" t="s">
        <v>144</v>
      </c>
      <c r="D3" s="7" t="s">
        <v>170</v>
      </c>
      <c r="E3" s="8">
        <v>1.2999999999999999E-2</v>
      </c>
      <c r="F3" s="7">
        <v>66</v>
      </c>
      <c r="G3" s="8">
        <v>0.01</v>
      </c>
      <c r="H3" s="8">
        <v>2.5999999999999999E-2</v>
      </c>
      <c r="I3" s="7" t="s">
        <v>171</v>
      </c>
      <c r="J3" s="7">
        <v>22800.963199999998</v>
      </c>
      <c r="K3" s="7">
        <v>20.28883965</v>
      </c>
      <c r="L3" s="7">
        <v>0.25657413000000001</v>
      </c>
      <c r="M3" s="7">
        <v>0.97141623399999999</v>
      </c>
      <c r="N3" s="7">
        <v>183.45</v>
      </c>
      <c r="O3" s="7">
        <v>134.02000000000001</v>
      </c>
      <c r="P3" s="4"/>
      <c r="Q3" s="4"/>
      <c r="R3" s="4"/>
    </row>
    <row r="4" spans="1:18" ht="15.75" thickBot="1">
      <c r="A4" s="5" t="s">
        <v>66</v>
      </c>
      <c r="B4" s="6" t="s">
        <v>172</v>
      </c>
      <c r="C4" s="6" t="s">
        <v>149</v>
      </c>
      <c r="D4" s="7" t="s">
        <v>173</v>
      </c>
      <c r="E4" s="8">
        <v>2.8000000000000001E-2</v>
      </c>
      <c r="F4" s="7">
        <v>66</v>
      </c>
      <c r="G4" s="8">
        <v>9.8000000000000004E-2</v>
      </c>
      <c r="H4" s="8">
        <v>5.8000000000000003E-2</v>
      </c>
      <c r="I4" s="7" t="s">
        <v>174</v>
      </c>
      <c r="J4" s="7">
        <v>18245.810570000001</v>
      </c>
      <c r="K4" s="7">
        <v>20.30041563</v>
      </c>
      <c r="L4" s="7">
        <v>0.53077332899999996</v>
      </c>
      <c r="M4" s="7">
        <v>0.96028563</v>
      </c>
      <c r="N4" s="7">
        <v>141.94999999999999</v>
      </c>
      <c r="O4" s="7">
        <v>112.17</v>
      </c>
      <c r="P4" s="4"/>
      <c r="Q4" s="4"/>
      <c r="R4" s="4"/>
    </row>
    <row r="5" spans="1:18" ht="15.75" thickBot="1">
      <c r="A5" s="5" t="s">
        <v>98</v>
      </c>
      <c r="B5" s="6" t="s">
        <v>175</v>
      </c>
      <c r="C5" s="6" t="s">
        <v>148</v>
      </c>
      <c r="D5" s="7" t="s">
        <v>176</v>
      </c>
      <c r="E5" s="8">
        <v>3.5000000000000003E-2</v>
      </c>
      <c r="F5" s="7">
        <v>66</v>
      </c>
      <c r="G5" s="9"/>
      <c r="H5" s="9"/>
      <c r="I5" s="7" t="s">
        <v>177</v>
      </c>
      <c r="J5" s="7">
        <v>1688.5333459999999</v>
      </c>
      <c r="K5" s="7">
        <v>21.464588849999998</v>
      </c>
      <c r="L5" s="7">
        <v>0.74069282999999997</v>
      </c>
      <c r="M5" s="7">
        <v>0.37850957699999999</v>
      </c>
      <c r="N5" s="7">
        <v>57.63</v>
      </c>
      <c r="O5" s="7">
        <v>42.63</v>
      </c>
      <c r="P5" s="4"/>
      <c r="Q5" s="4"/>
      <c r="R5" s="4"/>
    </row>
    <row r="6" spans="1:18" ht="15.75" thickBot="1">
      <c r="A6" s="5" t="s">
        <v>56</v>
      </c>
      <c r="B6" s="6" t="s">
        <v>178</v>
      </c>
      <c r="C6" s="6" t="s">
        <v>144</v>
      </c>
      <c r="D6" s="7" t="s">
        <v>179</v>
      </c>
      <c r="E6" s="8">
        <v>2.1000000000000001E-2</v>
      </c>
      <c r="F6" s="7">
        <v>65</v>
      </c>
      <c r="G6" s="8">
        <v>0.02</v>
      </c>
      <c r="H6" s="8">
        <v>1.4E-2</v>
      </c>
      <c r="I6" s="7" t="s">
        <v>180</v>
      </c>
      <c r="J6" s="7">
        <v>58603.599000000002</v>
      </c>
      <c r="K6" s="7">
        <v>21.279447709999999</v>
      </c>
      <c r="L6" s="7">
        <v>0.44198544000000001</v>
      </c>
      <c r="M6" s="7">
        <v>0.92510539899999999</v>
      </c>
      <c r="N6" s="7">
        <v>104.88</v>
      </c>
      <c r="O6" s="7">
        <v>86.27</v>
      </c>
      <c r="P6" s="4"/>
      <c r="Q6" s="4"/>
      <c r="R6" s="4"/>
    </row>
    <row r="7" spans="1:18" ht="15.75" thickBot="1">
      <c r="A7" s="5" t="s">
        <v>104</v>
      </c>
      <c r="B7" s="6" t="s">
        <v>181</v>
      </c>
      <c r="C7" s="6" t="s">
        <v>145</v>
      </c>
      <c r="D7" s="7" t="s">
        <v>182</v>
      </c>
      <c r="E7" s="8">
        <v>2.3E-2</v>
      </c>
      <c r="F7" s="7">
        <v>65</v>
      </c>
      <c r="G7" s="8">
        <v>0.1</v>
      </c>
      <c r="H7" s="8">
        <v>4.8000000000000001E-2</v>
      </c>
      <c r="I7" s="7" t="s">
        <v>183</v>
      </c>
      <c r="J7" s="7">
        <v>369840.62520000001</v>
      </c>
      <c r="K7" s="7">
        <v>25.988379250000001</v>
      </c>
      <c r="L7" s="7">
        <v>0.62259197799999999</v>
      </c>
      <c r="M7" s="7">
        <v>0.324469075</v>
      </c>
      <c r="N7" s="7">
        <v>165.35</v>
      </c>
      <c r="O7" s="7">
        <v>127.99</v>
      </c>
      <c r="P7" s="4"/>
      <c r="Q7" s="4"/>
      <c r="R7" s="4"/>
    </row>
    <row r="8" spans="1:18" ht="15.75" thickBot="1">
      <c r="A8" s="5" t="s">
        <v>105</v>
      </c>
      <c r="B8" s="6" t="s">
        <v>184</v>
      </c>
      <c r="C8" s="6" t="s">
        <v>144</v>
      </c>
      <c r="D8" s="7" t="s">
        <v>185</v>
      </c>
      <c r="E8" s="8">
        <v>1.4E-2</v>
      </c>
      <c r="F8" s="7">
        <v>65</v>
      </c>
      <c r="G8" s="8">
        <v>0.17</v>
      </c>
      <c r="H8" s="8">
        <v>9.2999999999999999E-2</v>
      </c>
      <c r="I8" s="7" t="s">
        <v>186</v>
      </c>
      <c r="J8" s="7">
        <v>37313.759239999999</v>
      </c>
      <c r="K8" s="7">
        <v>20.545617709999998</v>
      </c>
      <c r="L8" s="7">
        <v>0.29538775499999997</v>
      </c>
      <c r="M8" s="7">
        <v>1.1202507180000001</v>
      </c>
      <c r="N8" s="7">
        <v>338.89</v>
      </c>
      <c r="O8" s="7">
        <v>268.51</v>
      </c>
      <c r="P8" s="4"/>
      <c r="Q8" s="4"/>
      <c r="R8" s="4"/>
    </row>
    <row r="9" spans="1:18" ht="15.75" thickBot="1">
      <c r="A9" s="5" t="s">
        <v>89</v>
      </c>
      <c r="B9" s="6" t="s">
        <v>187</v>
      </c>
      <c r="C9" s="6" t="s">
        <v>144</v>
      </c>
      <c r="D9" s="7" t="s">
        <v>188</v>
      </c>
      <c r="E9" s="8">
        <v>0.04</v>
      </c>
      <c r="F9" s="7">
        <v>64</v>
      </c>
      <c r="G9" s="8">
        <v>7.0000000000000001E-3</v>
      </c>
      <c r="H9" s="8">
        <v>4.9000000000000002E-2</v>
      </c>
      <c r="I9" s="7" t="s">
        <v>189</v>
      </c>
      <c r="J9" s="7">
        <v>85637.604829999997</v>
      </c>
      <c r="K9" s="7">
        <v>14.463368490000001</v>
      </c>
      <c r="L9" s="7">
        <v>0.57834105899999999</v>
      </c>
      <c r="M9" s="7">
        <v>0.62886680800000005</v>
      </c>
      <c r="N9" s="7">
        <v>202.24</v>
      </c>
      <c r="O9" s="7">
        <v>139.74</v>
      </c>
      <c r="P9" s="4"/>
      <c r="Q9" s="4"/>
      <c r="R9" s="4"/>
    </row>
    <row r="10" spans="1:18" ht="15.75" thickBot="1">
      <c r="A10" s="5" t="s">
        <v>42</v>
      </c>
      <c r="B10" s="6" t="s">
        <v>190</v>
      </c>
      <c r="C10" s="6" t="s">
        <v>146</v>
      </c>
      <c r="D10" s="7" t="s">
        <v>191</v>
      </c>
      <c r="E10" s="8">
        <v>0.02</v>
      </c>
      <c r="F10" s="7">
        <v>62</v>
      </c>
      <c r="G10" s="8">
        <v>9.5000000000000001E-2</v>
      </c>
      <c r="H10" s="8">
        <v>6.7000000000000004E-2</v>
      </c>
      <c r="I10" s="7" t="s">
        <v>192</v>
      </c>
      <c r="J10" s="7">
        <v>21961.77864</v>
      </c>
      <c r="K10" s="7">
        <v>7.4547789</v>
      </c>
      <c r="L10" s="7">
        <v>0.14135009200000001</v>
      </c>
      <c r="M10" s="7">
        <v>0.90445551199999996</v>
      </c>
      <c r="N10" s="7">
        <v>136.97999999999999</v>
      </c>
      <c r="O10" s="7">
        <v>100.02</v>
      </c>
      <c r="P10" s="4"/>
      <c r="Q10" s="4"/>
      <c r="R10" s="4"/>
    </row>
    <row r="11" spans="1:18" ht="15.75" thickBot="1">
      <c r="A11" s="5" t="s">
        <v>43</v>
      </c>
      <c r="B11" s="6" t="s">
        <v>193</v>
      </c>
      <c r="C11" s="6" t="s">
        <v>145</v>
      </c>
      <c r="D11" s="7" t="s">
        <v>194</v>
      </c>
      <c r="E11" s="8">
        <v>2.5000000000000001E-2</v>
      </c>
      <c r="F11" s="7">
        <v>60</v>
      </c>
      <c r="G11" s="8">
        <v>2.3E-2</v>
      </c>
      <c r="H11" s="8">
        <v>2.4E-2</v>
      </c>
      <c r="I11" s="7" t="s">
        <v>195</v>
      </c>
      <c r="J11" s="7">
        <v>62859.579460000001</v>
      </c>
      <c r="K11" s="7">
        <v>29.021043150000001</v>
      </c>
      <c r="L11" s="7">
        <v>0.69997443100000001</v>
      </c>
      <c r="M11" s="7">
        <v>0.23218683400000001</v>
      </c>
      <c r="N11" s="7">
        <v>85.15</v>
      </c>
      <c r="O11" s="7">
        <v>72.2</v>
      </c>
      <c r="P11" s="4"/>
      <c r="Q11" s="4"/>
      <c r="R11" s="4"/>
    </row>
    <row r="12" spans="1:18" ht="15.75" thickBot="1">
      <c r="A12" s="5" t="s">
        <v>75</v>
      </c>
      <c r="B12" s="6" t="s">
        <v>196</v>
      </c>
      <c r="C12" s="6" t="s">
        <v>145</v>
      </c>
      <c r="D12" s="7" t="s">
        <v>197</v>
      </c>
      <c r="E12" s="8">
        <v>2.9000000000000001E-2</v>
      </c>
      <c r="F12" s="7">
        <v>60</v>
      </c>
      <c r="G12" s="8">
        <v>4.8000000000000001E-2</v>
      </c>
      <c r="H12" s="8">
        <v>3.5000000000000003E-2</v>
      </c>
      <c r="I12" s="7" t="s">
        <v>198</v>
      </c>
      <c r="J12" s="7">
        <v>266732.23739999998</v>
      </c>
      <c r="K12" s="7">
        <v>27.298356099999999</v>
      </c>
      <c r="L12" s="7">
        <v>0.74707366500000005</v>
      </c>
      <c r="M12" s="7">
        <v>0.41666665600000002</v>
      </c>
      <c r="N12" s="7">
        <v>62.54</v>
      </c>
      <c r="O12" s="7">
        <v>50.73</v>
      </c>
      <c r="P12" s="4"/>
      <c r="Q12" s="4"/>
      <c r="R12" s="4"/>
    </row>
    <row r="13" spans="1:18" ht="15.75" thickBot="1">
      <c r="A13" s="5" t="s">
        <v>72</v>
      </c>
      <c r="B13" s="6" t="s">
        <v>199</v>
      </c>
      <c r="C13" s="6" t="s">
        <v>150</v>
      </c>
      <c r="D13" s="7" t="s">
        <v>200</v>
      </c>
      <c r="E13" s="8">
        <v>2.4E-2</v>
      </c>
      <c r="F13" s="7">
        <v>59</v>
      </c>
      <c r="G13" s="8">
        <v>0.05</v>
      </c>
      <c r="H13" s="8">
        <v>4.8000000000000001E-2</v>
      </c>
      <c r="I13" s="7" t="s">
        <v>201</v>
      </c>
      <c r="J13" s="7">
        <v>465170.1225</v>
      </c>
      <c r="K13" s="7">
        <v>22.280396710000002</v>
      </c>
      <c r="L13" s="7">
        <v>0.53775003600000004</v>
      </c>
      <c r="M13" s="7">
        <v>0.26179700299999997</v>
      </c>
      <c r="N13" s="7">
        <v>177.7</v>
      </c>
      <c r="O13" s="7">
        <v>152.65</v>
      </c>
      <c r="P13" s="4"/>
      <c r="Q13" s="4"/>
      <c r="R13" s="4"/>
    </row>
    <row r="14" spans="1:18" ht="15.75" thickBot="1">
      <c r="A14" s="5" t="s">
        <v>76</v>
      </c>
      <c r="B14" s="6" t="s">
        <v>202</v>
      </c>
      <c r="C14" s="6" t="s">
        <v>145</v>
      </c>
      <c r="D14" s="7" t="s">
        <v>203</v>
      </c>
      <c r="E14" s="8">
        <v>2.1000000000000001E-2</v>
      </c>
      <c r="F14" s="7">
        <v>59</v>
      </c>
      <c r="G14" s="8">
        <v>6.7000000000000004E-2</v>
      </c>
      <c r="H14" s="8">
        <v>7.8E-2</v>
      </c>
      <c r="I14" s="7" t="s">
        <v>204</v>
      </c>
      <c r="J14" s="7">
        <v>4227.9992499999998</v>
      </c>
      <c r="K14" s="7">
        <v>33.729282179999998</v>
      </c>
      <c r="L14" s="7">
        <v>0.67494017500000003</v>
      </c>
      <c r="M14" s="7">
        <v>0.36530182300000003</v>
      </c>
      <c r="N14" s="7">
        <v>198.42</v>
      </c>
      <c r="O14" s="7">
        <v>144.31</v>
      </c>
      <c r="P14" s="4"/>
      <c r="Q14" s="4"/>
      <c r="R14" s="4"/>
    </row>
    <row r="15" spans="1:18" ht="15.75" thickBot="1">
      <c r="A15" s="5" t="s">
        <v>80</v>
      </c>
      <c r="B15" s="6" t="s">
        <v>205</v>
      </c>
      <c r="C15" s="6" t="s">
        <v>149</v>
      </c>
      <c r="D15" s="7" t="s">
        <v>206</v>
      </c>
      <c r="E15" s="8">
        <v>1.4999999999999999E-2</v>
      </c>
      <c r="F15" s="7">
        <v>59</v>
      </c>
      <c r="G15" s="8">
        <v>0.33300000000000002</v>
      </c>
      <c r="H15" s="8">
        <v>0.18</v>
      </c>
      <c r="I15" s="7" t="s">
        <v>207</v>
      </c>
      <c r="J15" s="7">
        <v>140859.63140000001</v>
      </c>
      <c r="K15" s="7">
        <v>16.751056169999998</v>
      </c>
      <c r="L15" s="7">
        <v>0.24875059699999999</v>
      </c>
      <c r="M15" s="7">
        <v>0.793652578</v>
      </c>
      <c r="N15" s="7">
        <v>263.31</v>
      </c>
      <c r="O15" s="7">
        <v>181.42</v>
      </c>
      <c r="P15" s="4"/>
      <c r="Q15" s="4"/>
      <c r="R15" s="4"/>
    </row>
    <row r="16" spans="1:18" ht="15.75" thickBot="1">
      <c r="A16" s="5" t="s">
        <v>70</v>
      </c>
      <c r="B16" s="6" t="s">
        <v>208</v>
      </c>
      <c r="C16" s="6" t="s">
        <v>144</v>
      </c>
      <c r="D16" s="7" t="s">
        <v>209</v>
      </c>
      <c r="E16" s="8">
        <v>2.3E-2</v>
      </c>
      <c r="F16" s="7">
        <v>58</v>
      </c>
      <c r="G16" s="8">
        <v>7.0000000000000007E-2</v>
      </c>
      <c r="H16" s="8">
        <v>0.13400000000000001</v>
      </c>
      <c r="I16" s="7" t="s">
        <v>210</v>
      </c>
      <c r="J16" s="7">
        <v>66262.279330000005</v>
      </c>
      <c r="K16" s="7">
        <v>24.596243260000001</v>
      </c>
      <c r="L16" s="7">
        <v>0.55041738100000004</v>
      </c>
      <c r="M16" s="7">
        <v>0.675408746</v>
      </c>
      <c r="N16" s="7">
        <v>249.81</v>
      </c>
      <c r="O16" s="7">
        <v>202.8</v>
      </c>
      <c r="P16" s="4"/>
      <c r="Q16" s="4"/>
      <c r="R16" s="4"/>
    </row>
    <row r="17" spans="1:18" ht="15.75" thickBot="1">
      <c r="A17" s="5" t="s">
        <v>92</v>
      </c>
      <c r="B17" s="6" t="s">
        <v>211</v>
      </c>
      <c r="C17" s="6" t="s">
        <v>144</v>
      </c>
      <c r="D17" s="7" t="s">
        <v>212</v>
      </c>
      <c r="E17" s="8">
        <v>8.9999999999999993E-3</v>
      </c>
      <c r="F17" s="7">
        <v>58</v>
      </c>
      <c r="G17" s="8">
        <v>0.308</v>
      </c>
      <c r="H17" s="8">
        <v>0.13600000000000001</v>
      </c>
      <c r="I17" s="7" t="s">
        <v>213</v>
      </c>
      <c r="J17" s="7">
        <v>13175.68562</v>
      </c>
      <c r="K17" s="7">
        <v>26.500036439999999</v>
      </c>
      <c r="L17" s="7">
        <v>0.226259401</v>
      </c>
      <c r="M17" s="7">
        <v>1.0199209250000001</v>
      </c>
      <c r="N17" s="7">
        <v>271.12</v>
      </c>
      <c r="O17" s="7">
        <v>195.54</v>
      </c>
      <c r="P17" s="4"/>
      <c r="Q17" s="4"/>
      <c r="R17" s="4"/>
    </row>
    <row r="18" spans="1:18" ht="15.75" thickBot="1">
      <c r="A18" s="5" t="s">
        <v>68</v>
      </c>
      <c r="B18" s="6" t="s">
        <v>214</v>
      </c>
      <c r="C18" s="6" t="s">
        <v>145</v>
      </c>
      <c r="D18" s="7" t="s">
        <v>215</v>
      </c>
      <c r="E18" s="8">
        <v>2.1000000000000001E-2</v>
      </c>
      <c r="F18" s="7">
        <v>56</v>
      </c>
      <c r="G18" s="8">
        <v>6.0999999999999999E-2</v>
      </c>
      <c r="H18" s="8">
        <v>8.8999999999999996E-2</v>
      </c>
      <c r="I18" s="7" t="s">
        <v>216</v>
      </c>
      <c r="J18" s="7">
        <v>27631.378830000001</v>
      </c>
      <c r="K18" s="7">
        <v>29.835410079999999</v>
      </c>
      <c r="L18" s="7">
        <v>0.58408970999999998</v>
      </c>
      <c r="M18" s="7">
        <v>-1.2483419000000001E-2</v>
      </c>
      <c r="N18" s="7">
        <v>53.19</v>
      </c>
      <c r="O18" s="7">
        <v>40.04</v>
      </c>
      <c r="P18" s="4"/>
      <c r="Q18" s="4"/>
      <c r="R18" s="4"/>
    </row>
    <row r="19" spans="1:18" ht="15.75" thickBot="1">
      <c r="A19" s="5" t="s">
        <v>15</v>
      </c>
      <c r="B19" s="6" t="s">
        <v>217</v>
      </c>
      <c r="C19" s="6" t="s">
        <v>144</v>
      </c>
      <c r="D19" s="7" t="s">
        <v>218</v>
      </c>
      <c r="E19" s="8">
        <v>1.7000000000000001E-2</v>
      </c>
      <c r="F19" s="7">
        <v>54</v>
      </c>
      <c r="G19" s="8">
        <v>2.5999999999999999E-2</v>
      </c>
      <c r="H19" s="8">
        <v>2.8000000000000001E-2</v>
      </c>
      <c r="I19" s="7" t="s">
        <v>219</v>
      </c>
      <c r="J19" s="7">
        <v>3008.4388739999999</v>
      </c>
      <c r="K19" s="7">
        <v>23.577107170000001</v>
      </c>
      <c r="L19" s="7">
        <v>0.406425916</v>
      </c>
      <c r="M19" s="7">
        <v>0.7149624</v>
      </c>
      <c r="N19" s="7">
        <v>53.76</v>
      </c>
      <c r="O19" s="7">
        <v>38.26</v>
      </c>
      <c r="P19" s="4"/>
      <c r="Q19" s="4"/>
      <c r="R19" s="4"/>
    </row>
    <row r="20" spans="1:18" ht="15.75" thickBot="1">
      <c r="A20" s="5" t="s">
        <v>50</v>
      </c>
      <c r="B20" s="6" t="s">
        <v>220</v>
      </c>
      <c r="C20" s="6" t="s">
        <v>148</v>
      </c>
      <c r="D20" s="7" t="s">
        <v>221</v>
      </c>
      <c r="E20" s="8">
        <v>1.7000000000000001E-2</v>
      </c>
      <c r="F20" s="7">
        <v>54</v>
      </c>
      <c r="G20" s="8">
        <v>8.6999999999999994E-2</v>
      </c>
      <c r="H20" s="8">
        <v>6.8000000000000005E-2</v>
      </c>
      <c r="I20" s="7" t="s">
        <v>222</v>
      </c>
      <c r="J20" s="7">
        <v>3129.3470539999998</v>
      </c>
      <c r="K20" s="7">
        <v>30.94533551</v>
      </c>
      <c r="L20" s="7">
        <v>0.47687146800000002</v>
      </c>
      <c r="M20" s="7">
        <v>0.42293584699999998</v>
      </c>
      <c r="N20" s="7">
        <v>71.78</v>
      </c>
      <c r="O20" s="7">
        <v>50.45</v>
      </c>
      <c r="P20" s="4"/>
      <c r="Q20" s="4"/>
      <c r="R20" s="4"/>
    </row>
    <row r="21" spans="1:18" ht="15.75" thickBot="1">
      <c r="A21" s="5" t="s">
        <v>114</v>
      </c>
      <c r="B21" s="6" t="s">
        <v>223</v>
      </c>
      <c r="C21" s="6" t="s">
        <v>147</v>
      </c>
      <c r="D21" s="7" t="s">
        <v>224</v>
      </c>
      <c r="E21" s="10">
        <v>0.01</v>
      </c>
      <c r="F21" s="7">
        <v>54</v>
      </c>
      <c r="G21" s="9"/>
      <c r="H21" s="9"/>
      <c r="I21" s="7" t="s">
        <v>225</v>
      </c>
      <c r="J21" s="7">
        <v>2262.0647789999998</v>
      </c>
      <c r="K21" s="7">
        <v>16.415087939999999</v>
      </c>
      <c r="L21" s="7">
        <v>0.215278422</v>
      </c>
      <c r="M21" s="7">
        <v>0.74727167699999997</v>
      </c>
      <c r="N21" s="7">
        <v>137.78</v>
      </c>
      <c r="O21" s="7">
        <v>95.78</v>
      </c>
      <c r="P21" s="4"/>
      <c r="Q21" s="4"/>
      <c r="R21" s="4"/>
    </row>
    <row r="22" spans="1:18" ht="15.75" thickBot="1">
      <c r="A22" s="5" t="s">
        <v>117</v>
      </c>
      <c r="B22" s="6" t="s">
        <v>226</v>
      </c>
      <c r="C22" s="6" t="s">
        <v>148</v>
      </c>
      <c r="D22" s="7" t="s">
        <v>227</v>
      </c>
      <c r="E22" s="10">
        <v>0.02</v>
      </c>
      <c r="F22" s="7">
        <v>54</v>
      </c>
      <c r="G22" s="8">
        <v>5.8999999999999997E-2</v>
      </c>
      <c r="H22" s="8">
        <v>0.106</v>
      </c>
      <c r="I22" s="7" t="s">
        <v>228</v>
      </c>
      <c r="J22" s="7">
        <v>2048.2239650000001</v>
      </c>
      <c r="K22" s="7">
        <v>33.867256930000003</v>
      </c>
      <c r="L22" s="7">
        <v>0.674731572</v>
      </c>
      <c r="M22" s="7">
        <v>0.32773567599999998</v>
      </c>
      <c r="N22" s="7">
        <v>73.3</v>
      </c>
      <c r="O22" s="7">
        <v>60.13</v>
      </c>
      <c r="P22" s="4"/>
      <c r="Q22" s="4"/>
      <c r="R22" s="4"/>
    </row>
    <row r="23" spans="1:18" ht="15.75" thickBot="1">
      <c r="A23" s="5" t="s">
        <v>121</v>
      </c>
      <c r="B23" s="6" t="s">
        <v>229</v>
      </c>
      <c r="C23" s="6" t="s">
        <v>144</v>
      </c>
      <c r="D23" s="7" t="s">
        <v>230</v>
      </c>
      <c r="E23" s="10">
        <v>0.02</v>
      </c>
      <c r="F23" s="7">
        <v>54</v>
      </c>
      <c r="G23" s="8">
        <v>0.129</v>
      </c>
      <c r="H23" s="8">
        <v>6.4000000000000001E-2</v>
      </c>
      <c r="I23" s="7" t="s">
        <v>231</v>
      </c>
      <c r="J23" s="7">
        <v>22603.077440000001</v>
      </c>
      <c r="K23" s="7">
        <v>13.48390946</v>
      </c>
      <c r="L23" s="7">
        <v>0.30016334700000002</v>
      </c>
      <c r="M23" s="7">
        <v>1.0639780750000001</v>
      </c>
      <c r="N23" s="7">
        <v>221.3</v>
      </c>
      <c r="O23" s="7">
        <v>137.63999999999999</v>
      </c>
      <c r="P23" s="4"/>
      <c r="Q23" s="4"/>
      <c r="R23" s="4"/>
    </row>
    <row r="24" spans="1:18" ht="15.75" thickBot="1">
      <c r="A24" s="5" t="s">
        <v>125</v>
      </c>
      <c r="B24" s="6" t="s">
        <v>232</v>
      </c>
      <c r="C24" s="6" t="s">
        <v>145</v>
      </c>
      <c r="D24" s="7" t="s">
        <v>233</v>
      </c>
      <c r="E24" s="10">
        <v>0.02</v>
      </c>
      <c r="F24" s="7">
        <v>54</v>
      </c>
      <c r="G24" s="8">
        <v>0.32400000000000001</v>
      </c>
      <c r="H24" s="8">
        <v>8.4000000000000005E-2</v>
      </c>
      <c r="I24" s="7" t="s">
        <v>234</v>
      </c>
      <c r="J24" s="7">
        <v>101089.2154</v>
      </c>
      <c r="K24" s="7">
        <v>14.553587009999999</v>
      </c>
      <c r="L24" s="7">
        <v>0.23841378299999999</v>
      </c>
      <c r="M24" s="7">
        <v>0.87619357099999995</v>
      </c>
      <c r="N24" s="7">
        <v>266.91000000000003</v>
      </c>
      <c r="O24" s="7">
        <v>184</v>
      </c>
      <c r="P24" s="4"/>
      <c r="Q24" s="4"/>
      <c r="R24" s="4"/>
    </row>
    <row r="25" spans="1:18" ht="15.75" thickBot="1">
      <c r="A25" s="5" t="s">
        <v>129</v>
      </c>
      <c r="B25" s="6" t="s">
        <v>235</v>
      </c>
      <c r="C25" s="6" t="s">
        <v>145</v>
      </c>
      <c r="D25" s="7" t="s">
        <v>236</v>
      </c>
      <c r="E25" s="10">
        <v>0.01</v>
      </c>
      <c r="F25" s="7">
        <v>54</v>
      </c>
      <c r="G25" s="8">
        <v>0</v>
      </c>
      <c r="H25" s="8">
        <v>0</v>
      </c>
      <c r="I25" s="7" t="s">
        <v>237</v>
      </c>
      <c r="J25" s="7">
        <v>1384.9317149999999</v>
      </c>
      <c r="K25" s="7">
        <v>21.200314039999999</v>
      </c>
      <c r="L25" s="7">
        <v>0.36209750099999999</v>
      </c>
      <c r="M25" s="7">
        <v>0.43054851999999999</v>
      </c>
      <c r="N25" s="7">
        <v>37.869999999999997</v>
      </c>
      <c r="O25" s="7">
        <v>28.78</v>
      </c>
      <c r="P25" s="4"/>
      <c r="Q25" s="4"/>
      <c r="R25" s="4"/>
    </row>
    <row r="26" spans="1:18" ht="15.75" thickBot="1">
      <c r="A26" s="5" t="s">
        <v>38</v>
      </c>
      <c r="B26" s="6" t="s">
        <v>238</v>
      </c>
      <c r="C26" s="6" t="s">
        <v>146</v>
      </c>
      <c r="D26" s="7" t="s">
        <v>239</v>
      </c>
      <c r="E26" s="10">
        <v>0.01</v>
      </c>
      <c r="F26" s="7">
        <v>53</v>
      </c>
      <c r="G26" s="8">
        <v>0.01</v>
      </c>
      <c r="H26" s="8">
        <v>3.3000000000000002E-2</v>
      </c>
      <c r="I26" s="7" t="s">
        <v>240</v>
      </c>
      <c r="J26" s="7">
        <v>8824.0815949999997</v>
      </c>
      <c r="K26" s="7">
        <v>16.778404269999999</v>
      </c>
      <c r="L26" s="7">
        <v>0.23750950900000001</v>
      </c>
      <c r="M26" s="7">
        <v>0.85606689499999999</v>
      </c>
      <c r="N26" s="7">
        <v>76.48</v>
      </c>
      <c r="O26" s="7">
        <v>61.57</v>
      </c>
      <c r="P26" s="4"/>
      <c r="Q26" s="4"/>
      <c r="R26" s="4"/>
    </row>
    <row r="27" spans="1:18" ht="15.75" thickBot="1">
      <c r="A27" s="5" t="s">
        <v>63</v>
      </c>
      <c r="B27" s="6" t="s">
        <v>241</v>
      </c>
      <c r="C27" s="6" t="s">
        <v>147</v>
      </c>
      <c r="D27" s="7" t="s">
        <v>242</v>
      </c>
      <c r="E27" s="10">
        <v>0.01</v>
      </c>
      <c r="F27" s="7">
        <v>52</v>
      </c>
      <c r="G27" s="9"/>
      <c r="H27" s="9"/>
      <c r="I27" s="7" t="s">
        <v>243</v>
      </c>
      <c r="J27" s="7">
        <v>3547.141498</v>
      </c>
      <c r="K27" s="7">
        <v>20.876836279999999</v>
      </c>
      <c r="L27" s="7">
        <v>0.21531486599999999</v>
      </c>
      <c r="M27" s="7">
        <v>1.0254152059999999</v>
      </c>
      <c r="N27" s="7">
        <v>81.53</v>
      </c>
      <c r="O27" s="7">
        <v>58.87</v>
      </c>
      <c r="P27" s="4"/>
      <c r="Q27" s="4"/>
      <c r="R27" s="4"/>
    </row>
    <row r="28" spans="1:18" ht="15.75" thickBot="1">
      <c r="A28" s="5" t="s">
        <v>90</v>
      </c>
      <c r="B28" s="6" t="s">
        <v>244</v>
      </c>
      <c r="C28" s="6" t="s">
        <v>145</v>
      </c>
      <c r="D28" s="7" t="s">
        <v>245</v>
      </c>
      <c r="E28" s="10">
        <v>7.0000000000000007E-2</v>
      </c>
      <c r="F28" s="7">
        <v>52</v>
      </c>
      <c r="G28" s="8">
        <v>4.7E-2</v>
      </c>
      <c r="H28" s="8">
        <v>8.1000000000000003E-2</v>
      </c>
      <c r="I28" s="7" t="s">
        <v>246</v>
      </c>
      <c r="J28" s="7">
        <v>97441.337610000002</v>
      </c>
      <c r="K28" s="7">
        <v>39.545997399999997</v>
      </c>
      <c r="L28" s="7">
        <v>2.587694811</v>
      </c>
      <c r="M28" s="7">
        <v>0.33241256899999999</v>
      </c>
      <c r="N28" s="7">
        <v>53.64</v>
      </c>
      <c r="O28" s="7">
        <v>41.02</v>
      </c>
      <c r="P28" s="4"/>
      <c r="Q28" s="4"/>
      <c r="R28" s="4"/>
    </row>
    <row r="29" spans="1:18" ht="15.75" thickBot="1">
      <c r="A29" s="5" t="s">
        <v>91</v>
      </c>
      <c r="B29" s="6" t="s">
        <v>247</v>
      </c>
      <c r="C29" s="6" t="s">
        <v>144</v>
      </c>
      <c r="D29" s="7" t="s">
        <v>248</v>
      </c>
      <c r="E29" s="10">
        <v>0.01</v>
      </c>
      <c r="F29" s="7">
        <v>51</v>
      </c>
      <c r="G29" s="8">
        <v>2.3E-2</v>
      </c>
      <c r="H29" s="8">
        <v>4.7E-2</v>
      </c>
      <c r="I29" s="7" t="s">
        <v>249</v>
      </c>
      <c r="J29" s="7">
        <v>5265.4644310000003</v>
      </c>
      <c r="K29" s="7">
        <v>247.49539039999999</v>
      </c>
      <c r="L29" s="7">
        <v>3.2488348610000002</v>
      </c>
      <c r="M29" s="7">
        <v>1</v>
      </c>
      <c r="N29" s="7">
        <v>170.8</v>
      </c>
      <c r="O29" s="7">
        <v>127.2</v>
      </c>
      <c r="P29" s="11"/>
      <c r="Q29" s="11"/>
      <c r="R29" s="11"/>
    </row>
    <row r="30" spans="1:18" ht="15.75" thickBot="1">
      <c r="A30" s="5" t="s">
        <v>94</v>
      </c>
      <c r="B30" s="6" t="s">
        <v>250</v>
      </c>
      <c r="C30" s="6" t="s">
        <v>151</v>
      </c>
      <c r="D30" s="7" t="s">
        <v>251</v>
      </c>
      <c r="E30" s="10">
        <v>0.03</v>
      </c>
      <c r="F30" s="7">
        <v>51</v>
      </c>
      <c r="G30" s="8">
        <v>2.1999999999999999E-2</v>
      </c>
      <c r="H30" s="8">
        <v>2.4E-2</v>
      </c>
      <c r="I30" s="7" t="s">
        <v>252</v>
      </c>
      <c r="J30" s="7">
        <v>6272.1385410000003</v>
      </c>
      <c r="K30" s="7">
        <v>14.99560934</v>
      </c>
      <c r="L30" s="7">
        <v>0.392368991</v>
      </c>
      <c r="M30" s="7">
        <v>0.54646529600000004</v>
      </c>
      <c r="N30" s="7">
        <v>68.680000000000007</v>
      </c>
      <c r="O30" s="7">
        <v>48.05</v>
      </c>
      <c r="P30" s="4"/>
      <c r="Q30" s="4"/>
      <c r="R30" s="4"/>
    </row>
    <row r="31" spans="1:18" ht="15.75" thickBot="1">
      <c r="A31" s="5" t="s">
        <v>123</v>
      </c>
      <c r="B31" s="6" t="s">
        <v>253</v>
      </c>
      <c r="C31" s="6" t="s">
        <v>145</v>
      </c>
      <c r="D31" s="7" t="s">
        <v>254</v>
      </c>
      <c r="E31" s="10">
        <v>0.02</v>
      </c>
      <c r="F31" s="7">
        <v>51</v>
      </c>
      <c r="G31" s="8">
        <v>4.3999999999999997E-2</v>
      </c>
      <c r="H31" s="8">
        <v>7.2999999999999995E-2</v>
      </c>
      <c r="I31" s="7" t="s">
        <v>255</v>
      </c>
      <c r="J31" s="7">
        <v>41479.024709999998</v>
      </c>
      <c r="K31" s="7">
        <v>52.807635529999999</v>
      </c>
      <c r="L31" s="7">
        <v>1.2130619389999999</v>
      </c>
      <c r="M31" s="7">
        <v>0.97380929999999999</v>
      </c>
      <c r="N31" s="7">
        <v>89.22</v>
      </c>
      <c r="O31" s="7">
        <v>67.650000000000006</v>
      </c>
      <c r="P31" s="4"/>
      <c r="Q31" s="4"/>
      <c r="R31" s="4"/>
    </row>
    <row r="32" spans="1:18" ht="15.75" thickBot="1">
      <c r="A32" s="5" t="s">
        <v>28</v>
      </c>
      <c r="B32" s="6" t="s">
        <v>256</v>
      </c>
      <c r="C32" s="6" t="s">
        <v>150</v>
      </c>
      <c r="D32" s="7" t="s">
        <v>257</v>
      </c>
      <c r="E32" s="10">
        <v>0.01</v>
      </c>
      <c r="F32" s="7">
        <v>50</v>
      </c>
      <c r="G32" s="8">
        <v>4.8000000000000001E-2</v>
      </c>
      <c r="H32" s="8">
        <v>3.5999999999999997E-2</v>
      </c>
      <c r="I32" s="7" t="s">
        <v>258</v>
      </c>
      <c r="J32" s="7">
        <v>75655.132029999993</v>
      </c>
      <c r="K32" s="7">
        <v>45.167242999999999</v>
      </c>
      <c r="L32" s="7">
        <v>0.58634377000000004</v>
      </c>
      <c r="M32" s="7">
        <v>0.152956273</v>
      </c>
      <c r="N32" s="7">
        <v>279.7</v>
      </c>
      <c r="O32" s="7">
        <v>233.53</v>
      </c>
      <c r="P32" s="4"/>
      <c r="Q32" s="4"/>
      <c r="R32" s="4"/>
    </row>
    <row r="33" spans="1:18" ht="15.75" thickBot="1">
      <c r="A33" s="5" t="s">
        <v>31</v>
      </c>
      <c r="B33" s="6" t="s">
        <v>259</v>
      </c>
      <c r="C33" s="6" t="s">
        <v>148</v>
      </c>
      <c r="D33" s="7" t="s">
        <v>260</v>
      </c>
      <c r="E33" s="10">
        <v>0.03</v>
      </c>
      <c r="F33" s="7">
        <v>50</v>
      </c>
      <c r="G33" s="8">
        <v>5.2999999999999999E-2</v>
      </c>
      <c r="H33" s="8">
        <v>0.06</v>
      </c>
      <c r="I33" s="7" t="s">
        <v>261</v>
      </c>
      <c r="J33" s="7">
        <v>4823.4586149999996</v>
      </c>
      <c r="K33" s="7">
        <v>20.374153580000002</v>
      </c>
      <c r="L33" s="7">
        <v>0.61235800600000001</v>
      </c>
      <c r="M33" s="7">
        <v>0.42504507600000002</v>
      </c>
      <c r="N33" s="7">
        <v>74.400000000000006</v>
      </c>
      <c r="O33" s="7">
        <v>60.85</v>
      </c>
      <c r="P33" s="4"/>
      <c r="Q33" s="4"/>
      <c r="R33" s="4"/>
    </row>
    <row r="34" spans="1:18" ht="15.75" thickBot="1">
      <c r="A34" s="5" t="s">
        <v>67</v>
      </c>
      <c r="B34" s="6" t="s">
        <v>262</v>
      </c>
      <c r="C34" s="6" t="s">
        <v>144</v>
      </c>
      <c r="D34" s="7" t="s">
        <v>263</v>
      </c>
      <c r="E34" s="10">
        <v>0.01</v>
      </c>
      <c r="F34" s="7">
        <v>50</v>
      </c>
      <c r="G34" s="8">
        <v>5.8999999999999997E-2</v>
      </c>
      <c r="H34" s="8">
        <v>4.8000000000000001E-2</v>
      </c>
      <c r="I34" s="7" t="s">
        <v>264</v>
      </c>
      <c r="J34" s="7">
        <v>25876.09013</v>
      </c>
      <c r="K34" s="7">
        <v>24.80929063</v>
      </c>
      <c r="L34" s="7">
        <v>0.32264951800000002</v>
      </c>
      <c r="M34" s="7">
        <v>0.68776913299999998</v>
      </c>
      <c r="N34" s="7">
        <v>525.26</v>
      </c>
      <c r="O34" s="7">
        <v>388.51</v>
      </c>
      <c r="P34" s="4"/>
      <c r="Q34" s="4"/>
      <c r="R34" s="4"/>
    </row>
    <row r="35" spans="1:18" ht="15.75" thickBot="1">
      <c r="A35" s="5" t="s">
        <v>74</v>
      </c>
      <c r="B35" s="6" t="s">
        <v>265</v>
      </c>
      <c r="C35" s="6" t="s">
        <v>145</v>
      </c>
      <c r="D35" s="7" t="s">
        <v>266</v>
      </c>
      <c r="E35" s="10">
        <v>0.04</v>
      </c>
      <c r="F35" s="7">
        <v>50</v>
      </c>
      <c r="G35" s="8">
        <v>1.7999999999999999E-2</v>
      </c>
      <c r="H35" s="8">
        <v>3.5999999999999997E-2</v>
      </c>
      <c r="I35" s="7" t="s">
        <v>267</v>
      </c>
      <c r="J35" s="7">
        <v>40525.745669999997</v>
      </c>
      <c r="K35" s="7">
        <v>22.340543369999999</v>
      </c>
      <c r="L35" s="7">
        <v>0.84515821599999996</v>
      </c>
      <c r="M35" s="7">
        <v>9.9006450999999995E-2</v>
      </c>
      <c r="N35" s="7">
        <v>144.49</v>
      </c>
      <c r="O35" s="7">
        <v>117.32</v>
      </c>
      <c r="P35" s="4"/>
      <c r="Q35" s="4"/>
      <c r="R35" s="4"/>
    </row>
    <row r="36" spans="1:18" ht="15.75" thickBot="1">
      <c r="A36" s="5" t="s">
        <v>78</v>
      </c>
      <c r="B36" s="6" t="s">
        <v>268</v>
      </c>
      <c r="C36" s="6" t="s">
        <v>149</v>
      </c>
      <c r="D36" s="7" t="s">
        <v>269</v>
      </c>
      <c r="E36" s="10">
        <v>0.05</v>
      </c>
      <c r="F36" s="7">
        <v>50</v>
      </c>
      <c r="G36" s="8">
        <v>0.05</v>
      </c>
      <c r="H36" s="8">
        <v>3.1E-2</v>
      </c>
      <c r="I36" s="7" t="s">
        <v>270</v>
      </c>
      <c r="J36" s="7">
        <v>4810.8711730000005</v>
      </c>
      <c r="K36" s="7">
        <v>11.955445259999999</v>
      </c>
      <c r="L36" s="7">
        <v>0.56232000299999996</v>
      </c>
      <c r="M36" s="7">
        <v>0.97281136199999996</v>
      </c>
      <c r="N36" s="7">
        <v>56.92</v>
      </c>
      <c r="O36" s="7">
        <v>34.47</v>
      </c>
      <c r="P36" s="4"/>
      <c r="Q36" s="4"/>
      <c r="R36" s="4"/>
    </row>
    <row r="37" spans="1:18" ht="15.75" thickBot="1">
      <c r="A37" s="5" t="s">
        <v>103</v>
      </c>
      <c r="B37" s="6" t="s">
        <v>271</v>
      </c>
      <c r="C37" s="6" t="s">
        <v>145</v>
      </c>
      <c r="D37" s="7" t="s">
        <v>272</v>
      </c>
      <c r="E37" s="10">
        <v>0.03</v>
      </c>
      <c r="F37" s="7">
        <v>50</v>
      </c>
      <c r="G37" s="8">
        <v>5.0999999999999997E-2</v>
      </c>
      <c r="H37" s="8">
        <v>0.06</v>
      </c>
      <c r="I37" s="7" t="s">
        <v>273</v>
      </c>
      <c r="J37" s="7">
        <v>228469.5723</v>
      </c>
      <c r="K37" s="7">
        <v>29.99075509</v>
      </c>
      <c r="L37" s="7">
        <v>0.77689224700000004</v>
      </c>
      <c r="M37" s="7">
        <v>0.40259190700000003</v>
      </c>
      <c r="N37" s="7">
        <v>176.08</v>
      </c>
      <c r="O37" s="7">
        <v>136.32</v>
      </c>
      <c r="P37" s="4"/>
      <c r="Q37" s="4"/>
      <c r="R37" s="4"/>
    </row>
    <row r="38" spans="1:18" ht="15.75" thickBot="1">
      <c r="A38" s="5" t="s">
        <v>107</v>
      </c>
      <c r="B38" s="6" t="s">
        <v>274</v>
      </c>
      <c r="C38" s="6" t="s">
        <v>147</v>
      </c>
      <c r="D38" s="7" t="s">
        <v>275</v>
      </c>
      <c r="E38" s="10">
        <v>0.02</v>
      </c>
      <c r="F38" s="7">
        <v>50</v>
      </c>
      <c r="G38" s="8">
        <v>9.2999999999999999E-2</v>
      </c>
      <c r="H38" s="8">
        <v>8.1000000000000003E-2</v>
      </c>
      <c r="I38" s="7" t="s">
        <v>276</v>
      </c>
      <c r="J38" s="7">
        <v>30571.73575</v>
      </c>
      <c r="K38" s="7">
        <v>21.245125600000001</v>
      </c>
      <c r="L38" s="7">
        <v>0.38224707499999999</v>
      </c>
      <c r="M38" s="7">
        <v>0.96694880100000002</v>
      </c>
      <c r="N38" s="7">
        <v>180.94</v>
      </c>
      <c r="O38" s="7">
        <v>111.32</v>
      </c>
      <c r="P38" s="4"/>
      <c r="Q38" s="4"/>
      <c r="R38" s="4"/>
    </row>
    <row r="39" spans="1:18" ht="15.75" thickBot="1">
      <c r="A39" s="5" t="s">
        <v>136</v>
      </c>
      <c r="B39" s="6" t="s">
        <v>277</v>
      </c>
      <c r="C39" s="6" t="s">
        <v>145</v>
      </c>
      <c r="D39" s="7" t="s">
        <v>278</v>
      </c>
      <c r="E39" s="10">
        <v>0.05</v>
      </c>
      <c r="F39" s="7">
        <v>50</v>
      </c>
      <c r="G39" s="8">
        <v>1.2999999999999999E-2</v>
      </c>
      <c r="H39" s="8">
        <v>7.5999999999999998E-2</v>
      </c>
      <c r="I39" s="7" t="s">
        <v>279</v>
      </c>
      <c r="J39" s="7">
        <v>1416.698852</v>
      </c>
      <c r="K39" s="7">
        <v>14.143227899999999</v>
      </c>
      <c r="L39" s="7">
        <v>0.75722150899999996</v>
      </c>
      <c r="M39" s="7">
        <v>0.40982069799999998</v>
      </c>
      <c r="N39" s="7">
        <v>58.36</v>
      </c>
      <c r="O39" s="7">
        <v>45.42</v>
      </c>
      <c r="P39" s="4"/>
      <c r="Q39" s="4"/>
      <c r="R39" s="4"/>
    </row>
    <row r="40" spans="1:18" ht="15.75" thickBot="1">
      <c r="A40" s="5" t="s">
        <v>119</v>
      </c>
      <c r="B40" s="6" t="s">
        <v>280</v>
      </c>
      <c r="C40" s="6" t="s">
        <v>146</v>
      </c>
      <c r="D40" s="7" t="s">
        <v>281</v>
      </c>
      <c r="E40" s="10">
        <v>0.01</v>
      </c>
      <c r="F40" s="7">
        <v>49</v>
      </c>
      <c r="G40" s="8">
        <v>0</v>
      </c>
      <c r="H40" s="8">
        <v>0.13400000000000001</v>
      </c>
      <c r="I40" s="7" t="s">
        <v>282</v>
      </c>
      <c r="J40" s="7">
        <v>143485.19829999999</v>
      </c>
      <c r="K40" s="7">
        <v>47.448808960000001</v>
      </c>
      <c r="L40" s="7">
        <v>0.245533061</v>
      </c>
      <c r="M40" s="7">
        <v>0.98465498399999996</v>
      </c>
      <c r="N40" s="7">
        <v>483.28</v>
      </c>
      <c r="O40" s="7">
        <v>348.99</v>
      </c>
      <c r="P40" s="4"/>
      <c r="Q40" s="4"/>
      <c r="R40" s="4"/>
    </row>
    <row r="41" spans="1:18" ht="15.75" thickBot="1">
      <c r="A41" s="5" t="s">
        <v>128</v>
      </c>
      <c r="B41" s="6" t="s">
        <v>283</v>
      </c>
      <c r="C41" s="6" t="s">
        <v>144</v>
      </c>
      <c r="D41" s="7" t="s">
        <v>284</v>
      </c>
      <c r="E41" s="10">
        <v>0.01</v>
      </c>
      <c r="F41" s="7">
        <v>49</v>
      </c>
      <c r="G41" s="8">
        <v>8.6999999999999994E-2</v>
      </c>
      <c r="H41" s="8">
        <v>3.5000000000000003E-2</v>
      </c>
      <c r="I41" s="7" t="s">
        <v>285</v>
      </c>
      <c r="J41" s="7">
        <v>1490.7069429999999</v>
      </c>
      <c r="K41" s="7">
        <v>22.969290340000001</v>
      </c>
      <c r="L41" s="7">
        <v>0.27778254600000002</v>
      </c>
      <c r="M41" s="7">
        <v>0.80353512400000005</v>
      </c>
      <c r="N41" s="7">
        <v>86.34</v>
      </c>
      <c r="O41" s="7">
        <v>69.7</v>
      </c>
      <c r="P41" s="4"/>
      <c r="Q41" s="4"/>
      <c r="R41" s="4"/>
    </row>
    <row r="42" spans="1:18" ht="15.75" thickBot="1">
      <c r="A42" s="5" t="s">
        <v>139</v>
      </c>
      <c r="B42" s="6" t="s">
        <v>286</v>
      </c>
      <c r="C42" s="6" t="s">
        <v>145</v>
      </c>
      <c r="D42" s="7" t="s">
        <v>287</v>
      </c>
      <c r="E42" s="10">
        <v>0.02</v>
      </c>
      <c r="F42" s="7">
        <v>49</v>
      </c>
      <c r="G42" s="8">
        <v>1.7999999999999999E-2</v>
      </c>
      <c r="H42" s="8">
        <v>1.9E-2</v>
      </c>
      <c r="I42" s="7" t="s">
        <v>288</v>
      </c>
      <c r="J42" s="7">
        <v>397912.86479999998</v>
      </c>
      <c r="K42" s="7">
        <v>29.10208914</v>
      </c>
      <c r="L42" s="7">
        <v>0.45118025099999998</v>
      </c>
      <c r="M42" s="7">
        <v>0.30413326499999999</v>
      </c>
      <c r="N42" s="7">
        <v>151.37</v>
      </c>
      <c r="O42" s="7">
        <v>131.5</v>
      </c>
      <c r="P42" s="4"/>
      <c r="Q42" s="4"/>
      <c r="R42" s="4"/>
    </row>
    <row r="43" spans="1:18" ht="15.75" thickBot="1">
      <c r="A43" s="5" t="s">
        <v>55</v>
      </c>
      <c r="B43" s="6" t="s">
        <v>289</v>
      </c>
      <c r="C43" s="6" t="s">
        <v>148</v>
      </c>
      <c r="D43" s="7" t="s">
        <v>290</v>
      </c>
      <c r="E43" s="10">
        <v>0.03</v>
      </c>
      <c r="F43" s="7">
        <v>48</v>
      </c>
      <c r="G43" s="8">
        <v>1.9E-2</v>
      </c>
      <c r="H43" s="8">
        <v>2.7E-2</v>
      </c>
      <c r="I43" s="7" t="s">
        <v>282</v>
      </c>
      <c r="J43" s="7">
        <v>32817.098460000001</v>
      </c>
      <c r="K43" s="7">
        <v>24.381202420000001</v>
      </c>
      <c r="L43" s="7">
        <v>0.797465537</v>
      </c>
      <c r="M43" s="7">
        <v>0.18359647400000001</v>
      </c>
      <c r="N43" s="7">
        <v>92.95</v>
      </c>
      <c r="O43" s="7">
        <v>69.11</v>
      </c>
      <c r="P43" s="4"/>
      <c r="Q43" s="4"/>
      <c r="R43" s="4"/>
    </row>
    <row r="44" spans="1:18" ht="15.75" thickBot="1">
      <c r="A44" s="5" t="s">
        <v>97</v>
      </c>
      <c r="B44" s="6" t="s">
        <v>291</v>
      </c>
      <c r="C44" s="6" t="s">
        <v>147</v>
      </c>
      <c r="D44" s="7" t="s">
        <v>292</v>
      </c>
      <c r="E44" s="10">
        <v>0.01</v>
      </c>
      <c r="F44" s="7">
        <v>48</v>
      </c>
      <c r="G44" s="8">
        <v>0.23499999999999999</v>
      </c>
      <c r="H44" s="8">
        <v>5.8000000000000003E-2</v>
      </c>
      <c r="I44" s="7" t="s">
        <v>293</v>
      </c>
      <c r="J44" s="7">
        <v>42419.460910000002</v>
      </c>
      <c r="K44" s="7">
        <v>6.2426084639999999</v>
      </c>
      <c r="L44" s="7">
        <v>7.3610897999999994E-2</v>
      </c>
      <c r="M44" s="7">
        <v>1.167599383</v>
      </c>
      <c r="N44" s="7">
        <v>157.69</v>
      </c>
      <c r="O44" s="7">
        <v>74.66</v>
      </c>
      <c r="P44" s="4"/>
      <c r="Q44" s="4"/>
      <c r="R44" s="4"/>
    </row>
    <row r="45" spans="1:18" ht="15.75" thickBot="1">
      <c r="A45" s="5" t="s">
        <v>111</v>
      </c>
      <c r="B45" s="6" t="s">
        <v>294</v>
      </c>
      <c r="C45" s="6" t="s">
        <v>147</v>
      </c>
      <c r="D45" s="7" t="s">
        <v>295</v>
      </c>
      <c r="E45" s="10">
        <v>0.02</v>
      </c>
      <c r="F45" s="7">
        <v>48</v>
      </c>
      <c r="G45" s="8">
        <v>5.2999999999999999E-2</v>
      </c>
      <c r="H45" s="8">
        <v>5.8999999999999997E-2</v>
      </c>
      <c r="I45" s="7" t="s">
        <v>296</v>
      </c>
      <c r="J45" s="7">
        <v>10444.70865</v>
      </c>
      <c r="K45" s="7">
        <v>23.196803320000001</v>
      </c>
      <c r="L45" s="7">
        <v>0.44276889000000003</v>
      </c>
      <c r="M45" s="7">
        <v>0.83489248100000002</v>
      </c>
      <c r="N45" s="7">
        <v>101.04</v>
      </c>
      <c r="O45" s="7">
        <v>75.11</v>
      </c>
      <c r="P45" s="4"/>
      <c r="Q45" s="4"/>
      <c r="R45" s="4"/>
    </row>
    <row r="46" spans="1:18" ht="15.75" thickBot="1">
      <c r="A46" s="5" t="s">
        <v>124</v>
      </c>
      <c r="B46" s="6" t="s">
        <v>297</v>
      </c>
      <c r="C46" s="6" t="s">
        <v>154</v>
      </c>
      <c r="D46" s="7" t="s">
        <v>298</v>
      </c>
      <c r="E46" s="10">
        <v>0.04</v>
      </c>
      <c r="F46" s="7">
        <v>48</v>
      </c>
      <c r="G46" s="8">
        <v>2.9000000000000001E-2</v>
      </c>
      <c r="H46" s="8">
        <v>0.03</v>
      </c>
      <c r="I46" s="7" t="s">
        <v>299</v>
      </c>
      <c r="J46" s="7">
        <v>2028.201505</v>
      </c>
      <c r="K46" s="7">
        <v>17.3350556</v>
      </c>
      <c r="L46" s="7">
        <v>0.688485876</v>
      </c>
      <c r="M46" s="7">
        <v>0.62426604200000002</v>
      </c>
      <c r="N46" s="7">
        <v>25.62</v>
      </c>
      <c r="O46" s="7">
        <v>15.54</v>
      </c>
      <c r="P46" s="4"/>
      <c r="Q46" s="4"/>
      <c r="R46" s="4"/>
    </row>
    <row r="47" spans="1:18" ht="15.75" thickBot="1">
      <c r="A47" s="5" t="s">
        <v>132</v>
      </c>
      <c r="B47" s="6" t="s">
        <v>300</v>
      </c>
      <c r="C47" s="6" t="s">
        <v>146</v>
      </c>
      <c r="D47" s="7" t="s">
        <v>301</v>
      </c>
      <c r="E47" s="10">
        <v>0.04</v>
      </c>
      <c r="F47" s="7">
        <v>48</v>
      </c>
      <c r="G47" s="8">
        <v>2.9000000000000001E-2</v>
      </c>
      <c r="H47" s="8">
        <v>1.7999999999999999E-2</v>
      </c>
      <c r="I47" s="7" t="s">
        <v>302</v>
      </c>
      <c r="J47" s="7">
        <v>4873.8186569999998</v>
      </c>
      <c r="K47" s="7">
        <v>13.25350836</v>
      </c>
      <c r="L47" s="7">
        <v>0.49244805800000002</v>
      </c>
      <c r="M47" s="7">
        <v>0.95174747800000004</v>
      </c>
      <c r="N47" s="7">
        <v>40.840000000000003</v>
      </c>
      <c r="O47" s="7">
        <v>31.09</v>
      </c>
      <c r="P47" s="4"/>
      <c r="Q47" s="4"/>
      <c r="R47" s="4"/>
    </row>
    <row r="48" spans="1:18" ht="15.75" thickBot="1">
      <c r="A48" s="5" t="s">
        <v>16</v>
      </c>
      <c r="B48" s="6" t="s">
        <v>303</v>
      </c>
      <c r="C48" s="6" t="s">
        <v>145</v>
      </c>
      <c r="D48" s="7" t="s">
        <v>304</v>
      </c>
      <c r="E48" s="10">
        <v>0.02</v>
      </c>
      <c r="F48" s="7">
        <v>47</v>
      </c>
      <c r="G48" s="8">
        <v>8.1000000000000003E-2</v>
      </c>
      <c r="H48" s="8">
        <v>4.5999999999999999E-2</v>
      </c>
      <c r="I48" s="7" t="s">
        <v>305</v>
      </c>
      <c r="J48" s="7">
        <v>52586.019419999997</v>
      </c>
      <c r="K48" s="7">
        <v>19.41159816</v>
      </c>
      <c r="L48" s="7">
        <v>0.31271548100000002</v>
      </c>
      <c r="M48" s="7">
        <v>0.48509933700000002</v>
      </c>
      <c r="N48" s="7">
        <v>93.5</v>
      </c>
      <c r="O48" s="7">
        <v>55.71</v>
      </c>
      <c r="P48" s="4"/>
      <c r="Q48" s="4"/>
      <c r="R48" s="4"/>
    </row>
    <row r="49" spans="1:18" ht="15.75" thickBot="1">
      <c r="A49" s="5" t="s">
        <v>17</v>
      </c>
      <c r="B49" s="6" t="s">
        <v>306</v>
      </c>
      <c r="C49" s="6" t="s">
        <v>144</v>
      </c>
      <c r="D49" s="7" t="s">
        <v>307</v>
      </c>
      <c r="E49" s="10">
        <v>0.02</v>
      </c>
      <c r="F49" s="7">
        <v>47</v>
      </c>
      <c r="G49" s="8">
        <v>0.11799999999999999</v>
      </c>
      <c r="H49" s="8">
        <v>0.128</v>
      </c>
      <c r="I49" s="7" t="s">
        <v>308</v>
      </c>
      <c r="J49" s="7">
        <v>92006.714850000004</v>
      </c>
      <c r="K49" s="7">
        <v>33.532587960000001</v>
      </c>
      <c r="L49" s="7">
        <v>0.60576243100000005</v>
      </c>
      <c r="M49" s="7">
        <v>0.86613457900000002</v>
      </c>
      <c r="N49" s="7">
        <v>247.73</v>
      </c>
      <c r="O49" s="7">
        <v>181.43</v>
      </c>
      <c r="P49" s="4"/>
      <c r="Q49" s="4"/>
      <c r="R49" s="4"/>
    </row>
    <row r="50" spans="1:18" ht="15.75" thickBot="1">
      <c r="A50" s="5" t="s">
        <v>82</v>
      </c>
      <c r="B50" s="6" t="s">
        <v>309</v>
      </c>
      <c r="C50" s="6" t="s">
        <v>149</v>
      </c>
      <c r="D50" s="7" t="s">
        <v>310</v>
      </c>
      <c r="E50" s="10">
        <v>0.02</v>
      </c>
      <c r="F50" s="7">
        <v>46</v>
      </c>
      <c r="G50" s="8">
        <v>7.0000000000000007E-2</v>
      </c>
      <c r="H50" s="8">
        <v>0.08</v>
      </c>
      <c r="I50" s="7" t="s">
        <v>311</v>
      </c>
      <c r="J50" s="7">
        <v>179635.19620000001</v>
      </c>
      <c r="K50" s="7">
        <v>23.807877349999998</v>
      </c>
      <c r="L50" s="7">
        <v>0.52758871699999998</v>
      </c>
      <c r="M50" s="7">
        <v>0.62723786800000003</v>
      </c>
      <c r="N50" s="7">
        <v>269.64999999999998</v>
      </c>
      <c r="O50" s="7">
        <v>217.68</v>
      </c>
      <c r="P50" s="4"/>
      <c r="Q50" s="4"/>
      <c r="R50" s="4"/>
    </row>
    <row r="51" spans="1:18" ht="15.75" thickBot="1">
      <c r="A51" s="5" t="s">
        <v>108</v>
      </c>
      <c r="B51" s="6" t="s">
        <v>312</v>
      </c>
      <c r="C51" s="6" t="s">
        <v>146</v>
      </c>
      <c r="D51" s="7" t="s">
        <v>313</v>
      </c>
      <c r="E51" s="10">
        <v>0.01</v>
      </c>
      <c r="F51" s="7">
        <v>46</v>
      </c>
      <c r="G51" s="8">
        <v>0</v>
      </c>
      <c r="H51" s="8">
        <v>2.5999999999999999E-2</v>
      </c>
      <c r="I51" s="7" t="s">
        <v>216</v>
      </c>
      <c r="J51" s="7">
        <v>4953.8269819999996</v>
      </c>
      <c r="K51" s="7">
        <v>17.733152140000001</v>
      </c>
      <c r="L51" s="7">
        <v>0.161765082</v>
      </c>
      <c r="M51" s="7">
        <v>0.73560094899999995</v>
      </c>
      <c r="N51" s="7">
        <v>114.84</v>
      </c>
      <c r="O51" s="7">
        <v>95.98</v>
      </c>
      <c r="P51" s="4"/>
      <c r="Q51" s="4"/>
      <c r="R51" s="4"/>
    </row>
    <row r="52" spans="1:18" ht="15.75" thickBot="1">
      <c r="A52" s="5" t="s">
        <v>138</v>
      </c>
      <c r="B52" s="6" t="s">
        <v>314</v>
      </c>
      <c r="C52" s="6" t="s">
        <v>150</v>
      </c>
      <c r="D52" s="7" t="s">
        <v>315</v>
      </c>
      <c r="E52" s="10">
        <v>0.04</v>
      </c>
      <c r="F52" s="7">
        <v>46</v>
      </c>
      <c r="G52" s="8">
        <v>2.1000000000000001E-2</v>
      </c>
      <c r="H52" s="8">
        <v>0.05</v>
      </c>
      <c r="I52" s="7" t="s">
        <v>316</v>
      </c>
      <c r="J52" s="7">
        <v>40677.377910000003</v>
      </c>
      <c r="K52" s="7">
        <v>6.3261863009999999</v>
      </c>
      <c r="L52" s="7">
        <v>0.25234533799999997</v>
      </c>
      <c r="M52" s="7">
        <v>0.67483281900000003</v>
      </c>
      <c r="N52" s="7">
        <v>54.92</v>
      </c>
      <c r="O52" s="7">
        <v>43.19</v>
      </c>
      <c r="P52" s="4"/>
      <c r="Q52" s="4"/>
      <c r="R52" s="4"/>
    </row>
    <row r="53" spans="1:18" ht="15.75" thickBot="1">
      <c r="A53" s="5" t="s">
        <v>46</v>
      </c>
      <c r="B53" s="6" t="s">
        <v>317</v>
      </c>
      <c r="C53" s="6" t="s">
        <v>144</v>
      </c>
      <c r="D53" s="7" t="s">
        <v>318</v>
      </c>
      <c r="E53" s="10">
        <v>0.01</v>
      </c>
      <c r="F53" s="7">
        <v>45</v>
      </c>
      <c r="G53" s="8">
        <v>2.9000000000000001E-2</v>
      </c>
      <c r="H53" s="8">
        <v>9.0999999999999998E-2</v>
      </c>
      <c r="I53" s="7" t="s">
        <v>319</v>
      </c>
      <c r="J53" s="7">
        <v>12876.908890000001</v>
      </c>
      <c r="K53" s="7">
        <v>30.535709950000001</v>
      </c>
      <c r="L53" s="7">
        <v>0.269561987</v>
      </c>
      <c r="M53" s="7">
        <v>0.98744800899999996</v>
      </c>
      <c r="N53" s="7">
        <v>250.86</v>
      </c>
      <c r="O53" s="7">
        <v>162.06</v>
      </c>
      <c r="P53" s="4"/>
      <c r="Q53" s="4"/>
      <c r="R53" s="4"/>
    </row>
    <row r="54" spans="1:18" ht="15.75" thickBot="1">
      <c r="A54" s="5" t="s">
        <v>86</v>
      </c>
      <c r="B54" s="6" t="s">
        <v>320</v>
      </c>
      <c r="C54" s="6" t="s">
        <v>148</v>
      </c>
      <c r="D54" s="7" t="s">
        <v>321</v>
      </c>
      <c r="E54" s="10">
        <v>0.02</v>
      </c>
      <c r="F54" s="7">
        <v>45</v>
      </c>
      <c r="G54" s="8">
        <v>4.7E-2</v>
      </c>
      <c r="H54" s="8">
        <v>4.7E-2</v>
      </c>
      <c r="I54" s="7" t="s">
        <v>322</v>
      </c>
      <c r="J54" s="7">
        <v>2838.8245449999999</v>
      </c>
      <c r="K54" s="7">
        <v>26.841884480000001</v>
      </c>
      <c r="L54" s="7">
        <v>0.52082145599999996</v>
      </c>
      <c r="M54" s="7">
        <v>0.384376834</v>
      </c>
      <c r="N54" s="7">
        <v>82.11</v>
      </c>
      <c r="O54" s="7">
        <v>68.75</v>
      </c>
      <c r="P54" s="4"/>
      <c r="Q54" s="4"/>
      <c r="R54" s="4"/>
    </row>
    <row r="55" spans="1:18" ht="15.75" thickBot="1">
      <c r="A55" s="5" t="s">
        <v>44</v>
      </c>
      <c r="B55" s="6" t="s">
        <v>323</v>
      </c>
      <c r="C55" s="6" t="s">
        <v>145</v>
      </c>
      <c r="D55" s="7" t="s">
        <v>324</v>
      </c>
      <c r="E55" s="10">
        <v>0.03</v>
      </c>
      <c r="F55" s="7">
        <v>44</v>
      </c>
      <c r="G55" s="8">
        <v>4.4999999999999998E-2</v>
      </c>
      <c r="H55" s="8">
        <v>7.6999999999999999E-2</v>
      </c>
      <c r="I55" s="7" t="s">
        <v>325</v>
      </c>
      <c r="J55" s="7">
        <v>16765.853050000002</v>
      </c>
      <c r="K55" s="7">
        <v>67.877947559999996</v>
      </c>
      <c r="L55" s="7">
        <v>2.3068472149999999</v>
      </c>
      <c r="M55" s="7">
        <v>-3.9801656999999997E-2</v>
      </c>
      <c r="N55" s="7">
        <v>192.75</v>
      </c>
      <c r="O55" s="7">
        <v>127.02</v>
      </c>
      <c r="P55" s="4"/>
      <c r="Q55" s="4"/>
      <c r="R55" s="4"/>
    </row>
    <row r="56" spans="1:18" ht="15.75" thickBot="1">
      <c r="A56" s="5" t="s">
        <v>84</v>
      </c>
      <c r="B56" s="6" t="s">
        <v>326</v>
      </c>
      <c r="C56" s="6" t="s">
        <v>150</v>
      </c>
      <c r="D56" s="7" t="s">
        <v>327</v>
      </c>
      <c r="E56" s="10">
        <v>0.02</v>
      </c>
      <c r="F56" s="7">
        <v>44</v>
      </c>
      <c r="G56" s="8">
        <v>8.5999999999999993E-2</v>
      </c>
      <c r="H56" s="8">
        <v>6.5000000000000002E-2</v>
      </c>
      <c r="I56" s="7" t="s">
        <v>328</v>
      </c>
      <c r="J56" s="7">
        <v>145503.33919999999</v>
      </c>
      <c r="K56" s="7">
        <v>29.61598601</v>
      </c>
      <c r="L56" s="7">
        <v>0.68810318699999995</v>
      </c>
      <c r="M56" s="7">
        <v>0.68945657999999999</v>
      </c>
      <c r="N56" s="7">
        <v>133.57</v>
      </c>
      <c r="O56" s="7">
        <v>97.17</v>
      </c>
      <c r="P56" s="4"/>
      <c r="Q56" s="4"/>
      <c r="R56" s="4"/>
    </row>
    <row r="57" spans="1:18" ht="15.75" thickBot="1">
      <c r="A57" s="5" t="s">
        <v>116</v>
      </c>
      <c r="B57" s="6" t="s">
        <v>329</v>
      </c>
      <c r="C57" s="6" t="s">
        <v>147</v>
      </c>
      <c r="D57" s="7" t="s">
        <v>330</v>
      </c>
      <c r="E57" s="10">
        <v>0.01</v>
      </c>
      <c r="F57" s="7">
        <v>44</v>
      </c>
      <c r="G57" s="9"/>
      <c r="H57" s="9"/>
      <c r="I57" s="7" t="s">
        <v>331</v>
      </c>
      <c r="J57" s="7">
        <v>63888.886310000002</v>
      </c>
      <c r="K57" s="7">
        <v>34.267800000000001</v>
      </c>
      <c r="L57" s="7">
        <v>0.32139889900000002</v>
      </c>
      <c r="M57" s="7">
        <v>0.80809059599999999</v>
      </c>
      <c r="N57" s="7">
        <v>353.33</v>
      </c>
      <c r="O57" s="7">
        <v>233.32</v>
      </c>
      <c r="P57" s="4"/>
      <c r="Q57" s="4"/>
      <c r="R57" s="4"/>
    </row>
    <row r="58" spans="1:18" ht="15.75" thickBot="1">
      <c r="A58" s="5" t="s">
        <v>29</v>
      </c>
      <c r="B58" s="6" t="s">
        <v>332</v>
      </c>
      <c r="C58" s="6" t="s">
        <v>146</v>
      </c>
      <c r="D58" s="7" t="s">
        <v>333</v>
      </c>
      <c r="E58" s="10">
        <v>0.04</v>
      </c>
      <c r="F58" s="7">
        <v>42</v>
      </c>
      <c r="G58" s="8">
        <v>3.5999999999999997E-2</v>
      </c>
      <c r="H58" s="8">
        <v>7.6999999999999999E-2</v>
      </c>
      <c r="I58" s="7" t="s">
        <v>334</v>
      </c>
      <c r="J58" s="7">
        <v>13974.121660000001</v>
      </c>
      <c r="K58" s="7">
        <v>7.5263217869999997</v>
      </c>
      <c r="L58" s="7">
        <v>0.29430420299999999</v>
      </c>
      <c r="M58" s="7">
        <v>1.4241151190000001</v>
      </c>
      <c r="N58" s="7">
        <v>37.94</v>
      </c>
      <c r="O58" s="7">
        <v>26.45</v>
      </c>
      <c r="P58" s="4"/>
      <c r="Q58" s="4"/>
      <c r="R58" s="4"/>
    </row>
    <row r="59" spans="1:18" ht="15.75" thickBot="1">
      <c r="A59" s="5" t="s">
        <v>48</v>
      </c>
      <c r="B59" s="6" t="s">
        <v>335</v>
      </c>
      <c r="C59" s="6" t="s">
        <v>146</v>
      </c>
      <c r="D59" s="7" t="s">
        <v>336</v>
      </c>
      <c r="E59" s="10">
        <v>0.04</v>
      </c>
      <c r="F59" s="7">
        <v>41</v>
      </c>
      <c r="G59" s="8">
        <v>3.9E-2</v>
      </c>
      <c r="H59" s="8">
        <v>4.5999999999999999E-2</v>
      </c>
      <c r="I59" s="7" t="s">
        <v>337</v>
      </c>
      <c r="J59" s="7">
        <v>756.67233599999997</v>
      </c>
      <c r="K59" s="7">
        <v>8.6045137670000003</v>
      </c>
      <c r="L59" s="7">
        <v>0.31637053500000001</v>
      </c>
      <c r="M59" s="7">
        <v>0.56531216100000004</v>
      </c>
      <c r="N59" s="7">
        <v>45.86</v>
      </c>
      <c r="O59" s="7">
        <v>37.49</v>
      </c>
      <c r="P59" s="4"/>
      <c r="Q59" s="4"/>
      <c r="R59" s="4"/>
    </row>
    <row r="60" spans="1:18" ht="15.75" thickBot="1">
      <c r="A60" s="5" t="s">
        <v>100</v>
      </c>
      <c r="B60" s="6" t="s">
        <v>338</v>
      </c>
      <c r="C60" s="6" t="s">
        <v>146</v>
      </c>
      <c r="D60" s="7" t="s">
        <v>339</v>
      </c>
      <c r="E60" s="10">
        <v>0.04</v>
      </c>
      <c r="F60" s="7">
        <v>41</v>
      </c>
      <c r="G60" s="8">
        <v>4.4999999999999998E-2</v>
      </c>
      <c r="H60" s="8">
        <v>3.4000000000000002E-2</v>
      </c>
      <c r="I60" s="7" t="s">
        <v>340</v>
      </c>
      <c r="J60" s="7">
        <v>8086.8363890000001</v>
      </c>
      <c r="K60" s="7">
        <v>5.270013939</v>
      </c>
      <c r="L60" s="7">
        <v>0.16888355399999999</v>
      </c>
      <c r="M60" s="7">
        <v>0.899033415</v>
      </c>
      <c r="N60" s="7">
        <v>26.96</v>
      </c>
      <c r="O60" s="7">
        <v>19.690000000000001</v>
      </c>
      <c r="P60" s="4"/>
      <c r="Q60" s="4"/>
      <c r="R60" s="4"/>
    </row>
    <row r="61" spans="1:18" ht="15.75" thickBot="1">
      <c r="A61" s="5" t="s">
        <v>18</v>
      </c>
      <c r="B61" s="6" t="s">
        <v>341</v>
      </c>
      <c r="C61" s="6" t="s">
        <v>146</v>
      </c>
      <c r="D61" s="7" t="s">
        <v>342</v>
      </c>
      <c r="E61" s="10">
        <v>0.02</v>
      </c>
      <c r="F61" s="7">
        <v>40</v>
      </c>
      <c r="G61" s="8">
        <v>0.21199999999999999</v>
      </c>
      <c r="H61" s="9"/>
      <c r="I61" s="7" t="s">
        <v>343</v>
      </c>
      <c r="J61" s="7">
        <v>42585.383139999998</v>
      </c>
      <c r="K61" s="7">
        <v>9.8463313620000008</v>
      </c>
      <c r="L61" s="7">
        <v>0.215681333</v>
      </c>
      <c r="M61" s="7">
        <v>0.814979593</v>
      </c>
      <c r="N61" s="7">
        <v>66.55</v>
      </c>
      <c r="O61" s="7">
        <v>49.61</v>
      </c>
      <c r="P61" s="4"/>
      <c r="Q61" s="4"/>
      <c r="R61" s="4"/>
    </row>
    <row r="62" spans="1:18" ht="15.75" thickBot="1">
      <c r="A62" s="5" t="s">
        <v>22</v>
      </c>
      <c r="B62" s="6" t="s">
        <v>344</v>
      </c>
      <c r="C62" s="6" t="s">
        <v>147</v>
      </c>
      <c r="D62" s="7" t="s">
        <v>345</v>
      </c>
      <c r="E62" s="10">
        <v>0.03</v>
      </c>
      <c r="F62" s="7">
        <v>40</v>
      </c>
      <c r="G62" s="8">
        <v>0.11899999999999999</v>
      </c>
      <c r="H62" s="8">
        <v>9.6000000000000002E-2</v>
      </c>
      <c r="I62" s="7" t="s">
        <v>346</v>
      </c>
      <c r="J62" s="7">
        <v>54666.638939999997</v>
      </c>
      <c r="K62" s="7">
        <v>25.105230280000001</v>
      </c>
      <c r="L62" s="7">
        <v>0.60805504899999996</v>
      </c>
      <c r="M62" s="7">
        <v>0.79999589199999999</v>
      </c>
      <c r="N62" s="7">
        <v>314.83</v>
      </c>
      <c r="O62" s="7">
        <v>216.24</v>
      </c>
      <c r="P62" s="4"/>
      <c r="Q62" s="4"/>
      <c r="R62" s="4"/>
    </row>
    <row r="63" spans="1:18" ht="15.75" thickBot="1">
      <c r="A63" s="5" t="s">
        <v>47</v>
      </c>
      <c r="B63" s="6" t="s">
        <v>347</v>
      </c>
      <c r="C63" s="6" t="s">
        <v>144</v>
      </c>
      <c r="D63" s="7" t="s">
        <v>348</v>
      </c>
      <c r="E63" s="10">
        <v>0.01</v>
      </c>
      <c r="F63" s="7">
        <v>39</v>
      </c>
      <c r="G63" s="9"/>
      <c r="H63" s="9"/>
      <c r="I63" s="7" t="s">
        <v>349</v>
      </c>
      <c r="J63" s="7">
        <v>42874.748310000003</v>
      </c>
      <c r="K63" s="7">
        <v>37.436726810000003</v>
      </c>
      <c r="L63" s="7">
        <v>0.33499220800000001</v>
      </c>
      <c r="M63" s="7">
        <v>1.0146030020000001</v>
      </c>
      <c r="N63" s="7">
        <v>460.27</v>
      </c>
      <c r="O63" s="7">
        <v>331.5</v>
      </c>
      <c r="P63" s="4"/>
      <c r="Q63" s="4"/>
      <c r="R63" s="4"/>
    </row>
    <row r="64" spans="1:18" ht="15.75" thickBot="1">
      <c r="A64" s="5" t="s">
        <v>142</v>
      </c>
      <c r="B64" s="6" t="s">
        <v>350</v>
      </c>
      <c r="C64" s="6" t="s">
        <v>151</v>
      </c>
      <c r="D64" s="7" t="s">
        <v>351</v>
      </c>
      <c r="E64" s="10">
        <v>0.04</v>
      </c>
      <c r="F64" s="7">
        <v>39</v>
      </c>
      <c r="G64" s="8">
        <v>1.0999999999999999E-2</v>
      </c>
      <c r="H64" s="8">
        <v>2.7E-2</v>
      </c>
      <c r="I64" s="7" t="s">
        <v>352</v>
      </c>
      <c r="J64" s="7">
        <v>360702.07500000001</v>
      </c>
      <c r="K64" s="7">
        <v>15.655472</v>
      </c>
      <c r="L64" s="7">
        <v>0.63743835199999999</v>
      </c>
      <c r="M64" s="7">
        <v>0.37059650100000002</v>
      </c>
      <c r="N64" s="7">
        <v>91.51</v>
      </c>
      <c r="O64" s="7">
        <v>50.85</v>
      </c>
      <c r="P64" s="4"/>
      <c r="Q64" s="4"/>
      <c r="R64" s="4"/>
    </row>
    <row r="65" spans="1:18" ht="15.75" thickBot="1">
      <c r="A65" s="5" t="s">
        <v>24</v>
      </c>
      <c r="B65" s="6" t="s">
        <v>353</v>
      </c>
      <c r="C65" s="6" t="s">
        <v>148</v>
      </c>
      <c r="D65" s="7" t="s">
        <v>354</v>
      </c>
      <c r="E65" s="10">
        <v>0.02</v>
      </c>
      <c r="F65" s="7">
        <v>38</v>
      </c>
      <c r="G65" s="8">
        <v>8.7999999999999995E-2</v>
      </c>
      <c r="H65" s="8">
        <v>8.5999999999999993E-2</v>
      </c>
      <c r="I65" s="7" t="s">
        <v>355</v>
      </c>
      <c r="J65" s="7">
        <v>16051.43347</v>
      </c>
      <c r="K65" s="7">
        <v>23.04207706</v>
      </c>
      <c r="L65" s="7">
        <v>0.489376372</v>
      </c>
      <c r="M65" s="7">
        <v>0.30384729999999999</v>
      </c>
      <c r="N65" s="7">
        <v>118.59</v>
      </c>
      <c r="O65" s="7">
        <v>85.25</v>
      </c>
      <c r="P65" s="4"/>
      <c r="Q65" s="4"/>
      <c r="R65" s="4"/>
    </row>
    <row r="66" spans="1:18" ht="15.75" thickBot="1">
      <c r="A66" s="5" t="s">
        <v>118</v>
      </c>
      <c r="B66" s="6" t="s">
        <v>356</v>
      </c>
      <c r="C66" s="6" t="s">
        <v>149</v>
      </c>
      <c r="D66" s="7" t="s">
        <v>357</v>
      </c>
      <c r="E66" s="10">
        <v>0.03</v>
      </c>
      <c r="F66" s="7">
        <v>38</v>
      </c>
      <c r="G66" s="8">
        <v>0</v>
      </c>
      <c r="H66" s="8">
        <v>2.9000000000000001E-2</v>
      </c>
      <c r="I66" s="7" t="s">
        <v>252</v>
      </c>
      <c r="J66" s="7">
        <v>6033.3019190000005</v>
      </c>
      <c r="K66" s="6" t="s">
        <v>155</v>
      </c>
      <c r="L66" s="6" t="s">
        <v>155</v>
      </c>
      <c r="M66" s="7">
        <v>0.64108071799999999</v>
      </c>
      <c r="N66" s="7">
        <v>68.819999999999993</v>
      </c>
      <c r="O66" s="7">
        <v>54.34</v>
      </c>
      <c r="P66" s="4"/>
      <c r="Q66" s="4"/>
      <c r="R66" s="4"/>
    </row>
    <row r="67" spans="1:18" ht="15.75" thickBot="1">
      <c r="A67" s="5" t="s">
        <v>33</v>
      </c>
      <c r="B67" s="6" t="s">
        <v>358</v>
      </c>
      <c r="C67" s="6" t="s">
        <v>144</v>
      </c>
      <c r="D67" s="7" t="s">
        <v>359</v>
      </c>
      <c r="E67" s="10">
        <v>0.02</v>
      </c>
      <c r="F67" s="7">
        <v>36</v>
      </c>
      <c r="G67" s="8">
        <v>2.3E-2</v>
      </c>
      <c r="H67" s="8">
        <v>1.9E-2</v>
      </c>
      <c r="I67" s="7" t="s">
        <v>360</v>
      </c>
      <c r="J67" s="7">
        <v>2247.0838640000002</v>
      </c>
      <c r="K67" s="7">
        <v>16.848874639999998</v>
      </c>
      <c r="L67" s="7">
        <v>0.34855150899999998</v>
      </c>
      <c r="M67" s="7">
        <v>0.76061098199999999</v>
      </c>
      <c r="N67" s="7">
        <v>61.23</v>
      </c>
      <c r="O67" s="7">
        <v>41.7</v>
      </c>
      <c r="P67" s="4"/>
      <c r="Q67" s="4"/>
      <c r="R67" s="4"/>
    </row>
    <row r="68" spans="1:18" ht="15.75" thickBot="1">
      <c r="A68" s="5" t="s">
        <v>131</v>
      </c>
      <c r="B68" s="6" t="s">
        <v>361</v>
      </c>
      <c r="C68" s="6" t="s">
        <v>146</v>
      </c>
      <c r="D68" s="7" t="s">
        <v>362</v>
      </c>
      <c r="E68" s="10">
        <v>0.03</v>
      </c>
      <c r="F68" s="7">
        <v>36</v>
      </c>
      <c r="G68" s="8">
        <v>0.111</v>
      </c>
      <c r="H68" s="8">
        <v>0.161</v>
      </c>
      <c r="I68" s="7" t="s">
        <v>363</v>
      </c>
      <c r="J68" s="7">
        <v>33925.457609999998</v>
      </c>
      <c r="K68" s="7">
        <v>0</v>
      </c>
      <c r="L68" s="6" t="s">
        <v>155</v>
      </c>
      <c r="M68" s="7">
        <v>1.3354950969999999</v>
      </c>
      <c r="N68" s="7">
        <v>220.21</v>
      </c>
      <c r="O68" s="7">
        <v>131.9</v>
      </c>
      <c r="P68" s="4"/>
      <c r="Q68" s="4"/>
      <c r="R68" s="4"/>
    </row>
    <row r="69" spans="1:18" ht="15.75" thickBot="1">
      <c r="A69" s="5" t="s">
        <v>134</v>
      </c>
      <c r="B69" s="6" t="s">
        <v>364</v>
      </c>
      <c r="C69" s="6" t="s">
        <v>152</v>
      </c>
      <c r="D69" s="7" t="s">
        <v>365</v>
      </c>
      <c r="E69" s="10">
        <v>0.05</v>
      </c>
      <c r="F69" s="7">
        <v>36</v>
      </c>
      <c r="G69" s="8">
        <v>1.4E-2</v>
      </c>
      <c r="H69" s="8">
        <v>1.2999999999999999E-2</v>
      </c>
      <c r="I69" s="7" t="s">
        <v>366</v>
      </c>
      <c r="J69" s="7">
        <v>802.03189599999996</v>
      </c>
      <c r="K69" s="7">
        <v>7.3469019270000002</v>
      </c>
      <c r="L69" s="7">
        <v>0.34851198100000003</v>
      </c>
      <c r="M69" s="7">
        <v>0.580240007</v>
      </c>
      <c r="N69" s="7">
        <v>70.67</v>
      </c>
      <c r="O69" s="7">
        <v>53.4</v>
      </c>
      <c r="P69" s="4"/>
      <c r="Q69" s="4"/>
      <c r="R69" s="4"/>
    </row>
    <row r="70" spans="1:18" ht="15.75" thickBot="1">
      <c r="A70" s="5" t="s">
        <v>49</v>
      </c>
      <c r="B70" s="6" t="s">
        <v>367</v>
      </c>
      <c r="C70" s="6" t="s">
        <v>151</v>
      </c>
      <c r="D70" s="7" t="s">
        <v>368</v>
      </c>
      <c r="E70" s="10">
        <v>0.03</v>
      </c>
      <c r="F70" s="7">
        <v>35</v>
      </c>
      <c r="G70" s="8">
        <v>0.10100000000000001</v>
      </c>
      <c r="H70" s="8">
        <v>5.6000000000000001E-2</v>
      </c>
      <c r="I70" s="7" t="s">
        <v>369</v>
      </c>
      <c r="J70" s="7">
        <v>329740.25699999998</v>
      </c>
      <c r="K70" s="7">
        <v>21.103376449999999</v>
      </c>
      <c r="L70" s="7">
        <v>0.65730848500000005</v>
      </c>
      <c r="M70" s="7">
        <v>0.33345211499999999</v>
      </c>
      <c r="N70" s="7">
        <v>174.76</v>
      </c>
      <c r="O70" s="7">
        <v>90.85</v>
      </c>
      <c r="P70" s="4"/>
      <c r="Q70" s="4"/>
      <c r="R70" s="4"/>
    </row>
    <row r="71" spans="1:18" ht="15.75" thickBot="1">
      <c r="A71" s="5" t="s">
        <v>88</v>
      </c>
      <c r="B71" s="6" t="s">
        <v>370</v>
      </c>
      <c r="C71" s="6" t="s">
        <v>145</v>
      </c>
      <c r="D71" s="7" t="s">
        <v>371</v>
      </c>
      <c r="E71" s="10">
        <v>0.02</v>
      </c>
      <c r="F71" s="7">
        <v>35</v>
      </c>
      <c r="G71" s="8">
        <v>8.7999999999999995E-2</v>
      </c>
      <c r="H71" s="9"/>
      <c r="I71" s="7" t="s">
        <v>343</v>
      </c>
      <c r="J71" s="7">
        <v>26118.300299999999</v>
      </c>
      <c r="K71" s="7">
        <v>34.580034830000002</v>
      </c>
      <c r="L71" s="7">
        <v>0.49352604100000003</v>
      </c>
      <c r="M71" s="7">
        <v>0.119257364</v>
      </c>
      <c r="N71" s="7">
        <v>107.35</v>
      </c>
      <c r="O71" s="7">
        <v>77.55</v>
      </c>
      <c r="P71" s="4"/>
      <c r="Q71" s="4"/>
      <c r="R71" s="4"/>
    </row>
    <row r="72" spans="1:18" ht="15.75" thickBot="1">
      <c r="A72" s="5" t="s">
        <v>127</v>
      </c>
      <c r="B72" s="6" t="s">
        <v>372</v>
      </c>
      <c r="C72" s="6" t="s">
        <v>146</v>
      </c>
      <c r="D72" s="7" t="s">
        <v>373</v>
      </c>
      <c r="E72" s="10">
        <v>0.03</v>
      </c>
      <c r="F72" s="7">
        <v>35</v>
      </c>
      <c r="G72" s="8">
        <v>5.6000000000000001E-2</v>
      </c>
      <c r="H72" s="8">
        <v>4.8000000000000001E-2</v>
      </c>
      <c r="I72" s="7" t="s">
        <v>288</v>
      </c>
      <c r="J72" s="7">
        <v>1170.1221370000001</v>
      </c>
      <c r="K72" s="7">
        <v>13.199496180000001</v>
      </c>
      <c r="L72" s="7">
        <v>0.363151055</v>
      </c>
      <c r="M72" s="7">
        <v>0.76910494200000001</v>
      </c>
      <c r="N72" s="7">
        <v>85.8</v>
      </c>
      <c r="O72" s="7">
        <v>71.650000000000006</v>
      </c>
      <c r="P72" s="4"/>
      <c r="Q72" s="4"/>
      <c r="R72" s="4"/>
    </row>
    <row r="73" spans="1:18" ht="15.75" thickBot="1">
      <c r="A73" s="5" t="s">
        <v>35</v>
      </c>
      <c r="B73" s="6" t="s">
        <v>374</v>
      </c>
      <c r="C73" s="6" t="s">
        <v>150</v>
      </c>
      <c r="D73" s="7" t="s">
        <v>375</v>
      </c>
      <c r="E73" s="10">
        <v>0.03</v>
      </c>
      <c r="F73" s="7">
        <v>34</v>
      </c>
      <c r="G73" s="8">
        <v>0.01</v>
      </c>
      <c r="H73" s="8">
        <v>1.7999999999999999E-2</v>
      </c>
      <c r="I73" s="7" t="s">
        <v>376</v>
      </c>
      <c r="J73" s="7">
        <v>16058.478279999999</v>
      </c>
      <c r="K73" s="7">
        <v>28.9341951</v>
      </c>
      <c r="L73" s="7">
        <v>1.005840251</v>
      </c>
      <c r="M73" s="7">
        <v>0.58061509700000002</v>
      </c>
      <c r="N73" s="7">
        <v>60.77</v>
      </c>
      <c r="O73" s="7">
        <v>45.42</v>
      </c>
      <c r="P73" s="4"/>
      <c r="Q73" s="4"/>
      <c r="R73" s="4"/>
    </row>
    <row r="74" spans="1:18" ht="15.75" thickBot="1">
      <c r="A74" s="5" t="s">
        <v>51</v>
      </c>
      <c r="B74" s="6" t="s">
        <v>377</v>
      </c>
      <c r="C74" s="6" t="s">
        <v>144</v>
      </c>
      <c r="D74" s="7" t="s">
        <v>378</v>
      </c>
      <c r="E74" s="10">
        <v>0.02</v>
      </c>
      <c r="F74" s="7">
        <v>34</v>
      </c>
      <c r="G74" s="8">
        <v>4.8000000000000001E-2</v>
      </c>
      <c r="H74" s="8">
        <v>4.7E-2</v>
      </c>
      <c r="I74" s="7" t="s">
        <v>379</v>
      </c>
      <c r="J74" s="7">
        <v>6492.9713240000001</v>
      </c>
      <c r="K74" s="7">
        <v>20.43742941</v>
      </c>
      <c r="L74" s="7">
        <v>0.34997246399999998</v>
      </c>
      <c r="M74" s="7">
        <v>0.94250215900000001</v>
      </c>
      <c r="N74" s="7">
        <v>68.8</v>
      </c>
      <c r="O74" s="7">
        <v>48.52</v>
      </c>
      <c r="P74" s="4"/>
      <c r="Q74" s="4"/>
      <c r="R74" s="4"/>
    </row>
    <row r="75" spans="1:18" ht="15.75" thickBot="1">
      <c r="A75" s="5" t="s">
        <v>120</v>
      </c>
      <c r="B75" s="6" t="s">
        <v>380</v>
      </c>
      <c r="C75" s="6" t="s">
        <v>146</v>
      </c>
      <c r="D75" s="7" t="s">
        <v>381</v>
      </c>
      <c r="E75" s="10">
        <v>0.03</v>
      </c>
      <c r="F75" s="7">
        <v>34</v>
      </c>
      <c r="G75" s="8">
        <v>6.9000000000000006E-2</v>
      </c>
      <c r="H75" s="8">
        <v>0.10299999999999999</v>
      </c>
      <c r="I75" s="7" t="s">
        <v>382</v>
      </c>
      <c r="J75" s="7">
        <v>1202.3648619999999</v>
      </c>
      <c r="K75" s="7">
        <v>10.22366939</v>
      </c>
      <c r="L75" s="7">
        <v>0.25922630200000002</v>
      </c>
      <c r="M75" s="7">
        <v>0.73841896399999996</v>
      </c>
      <c r="N75" s="7">
        <v>52.37</v>
      </c>
      <c r="O75" s="7">
        <v>40.39</v>
      </c>
      <c r="P75" s="4"/>
      <c r="Q75" s="4"/>
      <c r="R75" s="4"/>
    </row>
    <row r="76" spans="1:18" ht="15.75" thickBot="1">
      <c r="A76" s="5" t="s">
        <v>133</v>
      </c>
      <c r="B76" s="6" t="s">
        <v>383</v>
      </c>
      <c r="C76" s="6" t="s">
        <v>148</v>
      </c>
      <c r="D76" s="7" t="s">
        <v>384</v>
      </c>
      <c r="E76" s="10">
        <v>0.04</v>
      </c>
      <c r="F76" s="7">
        <v>34</v>
      </c>
      <c r="G76" s="8">
        <v>4.4999999999999998E-2</v>
      </c>
      <c r="H76" s="8">
        <v>6.7000000000000004E-2</v>
      </c>
      <c r="I76" s="7" t="s">
        <v>385</v>
      </c>
      <c r="J76" s="7">
        <v>7510.9940120000001</v>
      </c>
      <c r="K76" s="7">
        <v>7.039357087</v>
      </c>
      <c r="L76" s="7">
        <v>0.27066121399999998</v>
      </c>
      <c r="M76" s="7">
        <v>0.74211357</v>
      </c>
      <c r="N76" s="7">
        <v>47.31</v>
      </c>
      <c r="O76" s="7">
        <v>32.700000000000003</v>
      </c>
      <c r="P76" s="4"/>
      <c r="Q76" s="4"/>
      <c r="R76" s="4"/>
    </row>
    <row r="77" spans="1:18" ht="15.75" thickBot="1">
      <c r="A77" s="5" t="s">
        <v>83</v>
      </c>
      <c r="B77" s="6" t="s">
        <v>386</v>
      </c>
      <c r="C77" s="6" t="s">
        <v>146</v>
      </c>
      <c r="D77" s="7" t="s">
        <v>387</v>
      </c>
      <c r="E77" s="10">
        <v>0.05</v>
      </c>
      <c r="F77" s="7">
        <v>33</v>
      </c>
      <c r="G77" s="8">
        <v>4.0000000000000001E-3</v>
      </c>
      <c r="H77" s="8">
        <v>4.0000000000000001E-3</v>
      </c>
      <c r="I77" s="7" t="s">
        <v>388</v>
      </c>
      <c r="J77" s="7">
        <v>3052.5915420000001</v>
      </c>
      <c r="K77" s="7">
        <v>12.3119645</v>
      </c>
      <c r="L77" s="7">
        <v>0.55598932199999995</v>
      </c>
      <c r="M77" s="7">
        <v>0.38639936600000002</v>
      </c>
      <c r="N77" s="7">
        <v>64.86</v>
      </c>
      <c r="O77" s="7">
        <v>49.49</v>
      </c>
      <c r="P77" s="4"/>
      <c r="Q77" s="4"/>
      <c r="R77" s="4"/>
    </row>
    <row r="78" spans="1:18" ht="15.75" thickBot="1">
      <c r="A78" s="5" t="s">
        <v>30</v>
      </c>
      <c r="B78" s="6" t="s">
        <v>389</v>
      </c>
      <c r="C78" s="6" t="s">
        <v>145</v>
      </c>
      <c r="D78" s="7" t="s">
        <v>390</v>
      </c>
      <c r="E78" s="10">
        <v>0.01</v>
      </c>
      <c r="F78" s="7">
        <v>32</v>
      </c>
      <c r="G78" s="8">
        <v>0.05</v>
      </c>
      <c r="H78" s="9"/>
      <c r="I78" s="7" t="s">
        <v>391</v>
      </c>
      <c r="J78" s="7">
        <v>31224.71142</v>
      </c>
      <c r="K78" s="7">
        <v>38.692331369999998</v>
      </c>
      <c r="L78" s="7">
        <v>0.43197253400000002</v>
      </c>
      <c r="M78" s="7">
        <v>0.51755328899999997</v>
      </c>
      <c r="N78" s="7">
        <v>79.650000000000006</v>
      </c>
      <c r="O78" s="7">
        <v>62.33</v>
      </c>
      <c r="P78" s="4"/>
      <c r="Q78" s="4"/>
      <c r="R78" s="4"/>
    </row>
    <row r="79" spans="1:18" ht="15.75" thickBot="1">
      <c r="A79" s="5" t="s">
        <v>58</v>
      </c>
      <c r="B79" s="6" t="s">
        <v>392</v>
      </c>
      <c r="C79" s="6" t="s">
        <v>146</v>
      </c>
      <c r="D79" s="7" t="s">
        <v>393</v>
      </c>
      <c r="E79" s="10">
        <v>0.03</v>
      </c>
      <c r="F79" s="7">
        <v>32</v>
      </c>
      <c r="G79" s="8">
        <v>7.1999999999999995E-2</v>
      </c>
      <c r="H79" s="8">
        <v>7.1999999999999995E-2</v>
      </c>
      <c r="I79" s="7" t="s">
        <v>394</v>
      </c>
      <c r="J79" s="7">
        <v>8236.4346060000007</v>
      </c>
      <c r="K79" s="7">
        <v>27.652033190000001</v>
      </c>
      <c r="L79" s="7">
        <v>0.73462692100000004</v>
      </c>
      <c r="M79" s="7">
        <v>0.71637092800000002</v>
      </c>
      <c r="N79" s="7">
        <v>233.61</v>
      </c>
      <c r="O79" s="7">
        <v>164.19</v>
      </c>
      <c r="P79" s="4"/>
      <c r="Q79" s="4"/>
      <c r="R79" s="4"/>
    </row>
    <row r="80" spans="1:18" ht="15.75" thickBot="1">
      <c r="A80" s="5" t="s">
        <v>71</v>
      </c>
      <c r="B80" s="6" t="s">
        <v>395</v>
      </c>
      <c r="C80" s="6" t="s">
        <v>153</v>
      </c>
      <c r="D80" s="7" t="s">
        <v>396</v>
      </c>
      <c r="E80" s="10">
        <v>0.01</v>
      </c>
      <c r="F80" s="7">
        <v>32</v>
      </c>
      <c r="G80" s="8">
        <v>6.5000000000000002E-2</v>
      </c>
      <c r="H80" s="8">
        <v>9.6000000000000002E-2</v>
      </c>
      <c r="I80" s="7" t="s">
        <v>397</v>
      </c>
      <c r="J80" s="7">
        <v>14079.99188</v>
      </c>
      <c r="K80" s="7">
        <v>40.687150539999998</v>
      </c>
      <c r="L80" s="7">
        <v>0.40049087799999999</v>
      </c>
      <c r="M80" s="7">
        <v>0.59837586200000004</v>
      </c>
      <c r="N80" s="7">
        <v>193.44</v>
      </c>
      <c r="O80" s="7">
        <v>147.01</v>
      </c>
      <c r="P80" s="4"/>
      <c r="Q80" s="4"/>
      <c r="R80" s="4"/>
    </row>
    <row r="81" spans="1:18" ht="15.75" thickBot="1">
      <c r="A81" s="5" t="s">
        <v>126</v>
      </c>
      <c r="B81" s="6" t="s">
        <v>398</v>
      </c>
      <c r="C81" s="6" t="s">
        <v>146</v>
      </c>
      <c r="D81" s="7" t="s">
        <v>399</v>
      </c>
      <c r="E81" s="10">
        <v>0.02</v>
      </c>
      <c r="F81" s="7">
        <v>32</v>
      </c>
      <c r="G81" s="9"/>
      <c r="H81" s="9"/>
      <c r="I81" s="7" t="s">
        <v>400</v>
      </c>
      <c r="J81" s="7">
        <v>560.56812400000001</v>
      </c>
      <c r="K81" s="7">
        <v>10.579351989999999</v>
      </c>
      <c r="L81" s="7">
        <v>0.262143142</v>
      </c>
      <c r="M81" s="7">
        <v>0.42020738200000002</v>
      </c>
      <c r="N81" s="7">
        <v>47.1</v>
      </c>
      <c r="O81" s="7">
        <v>37.26</v>
      </c>
      <c r="P81" s="4"/>
      <c r="Q81" s="4"/>
      <c r="R81" s="4"/>
    </row>
    <row r="82" spans="1:18" ht="15.75" thickBot="1">
      <c r="A82" s="5" t="s">
        <v>64</v>
      </c>
      <c r="B82" s="6" t="s">
        <v>401</v>
      </c>
      <c r="C82" s="6" t="s">
        <v>144</v>
      </c>
      <c r="D82" s="7" t="s">
        <v>402</v>
      </c>
      <c r="E82" s="10">
        <v>0.02</v>
      </c>
      <c r="F82" s="7">
        <v>31</v>
      </c>
      <c r="G82" s="8">
        <v>8.2000000000000003E-2</v>
      </c>
      <c r="H82" s="8">
        <v>7.1999999999999995E-2</v>
      </c>
      <c r="I82" s="7" t="s">
        <v>403</v>
      </c>
      <c r="J82" s="7">
        <v>67965.42585</v>
      </c>
      <c r="K82" s="7">
        <v>20.86749335</v>
      </c>
      <c r="L82" s="7">
        <v>0.40851886199999998</v>
      </c>
      <c r="M82" s="7">
        <v>0.54081058599999998</v>
      </c>
      <c r="N82" s="7">
        <v>254.99</v>
      </c>
      <c r="O82" s="7">
        <v>175.51</v>
      </c>
      <c r="P82" s="4"/>
      <c r="Q82" s="4"/>
      <c r="R82" s="4"/>
    </row>
    <row r="83" spans="1:18" ht="15.75" thickBot="1">
      <c r="A83" s="5" t="s">
        <v>87</v>
      </c>
      <c r="B83" s="6" t="s">
        <v>404</v>
      </c>
      <c r="C83" s="6" t="s">
        <v>144</v>
      </c>
      <c r="D83" s="7" t="s">
        <v>405</v>
      </c>
      <c r="E83" s="10">
        <v>0.02</v>
      </c>
      <c r="F83" s="7">
        <v>31</v>
      </c>
      <c r="G83" s="8">
        <v>3.5999999999999997E-2</v>
      </c>
      <c r="H83" s="8">
        <v>0.108</v>
      </c>
      <c r="I83" s="7" t="s">
        <v>406</v>
      </c>
      <c r="J83" s="7">
        <v>2067.4682200000002</v>
      </c>
      <c r="K83" s="7">
        <v>23.047413410000001</v>
      </c>
      <c r="L83" s="7">
        <v>0.47143579099999999</v>
      </c>
      <c r="M83" s="7">
        <v>0.71299839099999995</v>
      </c>
      <c r="N83" s="7">
        <v>88.9</v>
      </c>
      <c r="O83" s="7">
        <v>66.33</v>
      </c>
      <c r="P83" s="4"/>
      <c r="Q83" s="4"/>
      <c r="R83" s="4"/>
    </row>
    <row r="84" spans="1:18" ht="15.75" thickBot="1">
      <c r="A84" s="5" t="s">
        <v>115</v>
      </c>
      <c r="B84" s="6" t="s">
        <v>407</v>
      </c>
      <c r="C84" s="6" t="s">
        <v>146</v>
      </c>
      <c r="D84" s="7" t="s">
        <v>408</v>
      </c>
      <c r="E84" s="10">
        <v>0.01</v>
      </c>
      <c r="F84" s="7">
        <v>31</v>
      </c>
      <c r="G84" s="9"/>
      <c r="H84" s="9"/>
      <c r="I84" s="7" t="s">
        <v>409</v>
      </c>
      <c r="J84" s="7">
        <v>8369.0365450000008</v>
      </c>
      <c r="K84" s="7">
        <v>15.31127648</v>
      </c>
      <c r="L84" s="7">
        <v>0.201455783</v>
      </c>
      <c r="M84" s="7">
        <v>1.095799172</v>
      </c>
      <c r="N84" s="7">
        <v>64.790000000000006</v>
      </c>
      <c r="O84" s="7">
        <v>54.03</v>
      </c>
      <c r="P84" s="4"/>
      <c r="Q84" s="4"/>
      <c r="R84" s="4"/>
    </row>
    <row r="85" spans="1:18" ht="15.75" thickBot="1">
      <c r="A85" s="5" t="s">
        <v>54</v>
      </c>
      <c r="B85" s="6" t="s">
        <v>410</v>
      </c>
      <c r="C85" s="6" t="s">
        <v>147</v>
      </c>
      <c r="D85" s="7" t="s">
        <v>411</v>
      </c>
      <c r="E85" s="10">
        <v>0.01</v>
      </c>
      <c r="F85" s="7">
        <v>30</v>
      </c>
      <c r="G85" s="8">
        <v>6.3E-2</v>
      </c>
      <c r="H85" s="8">
        <v>6.6000000000000003E-2</v>
      </c>
      <c r="I85" s="7" t="s">
        <v>412</v>
      </c>
      <c r="J85" s="7">
        <v>50843.313390000003</v>
      </c>
      <c r="K85" s="7">
        <v>44.998064769999999</v>
      </c>
      <c r="L85" s="7">
        <v>0.50438929700000001</v>
      </c>
      <c r="M85" s="7">
        <v>1.0777248129999999</v>
      </c>
      <c r="N85" s="7">
        <v>237.64</v>
      </c>
      <c r="O85" s="7">
        <v>154.35</v>
      </c>
      <c r="P85" s="4"/>
      <c r="Q85" s="4"/>
      <c r="R85" s="4"/>
    </row>
    <row r="86" spans="1:18" ht="15.75" thickBot="1">
      <c r="A86" s="5" t="s">
        <v>61</v>
      </c>
      <c r="B86" s="6" t="s">
        <v>413</v>
      </c>
      <c r="C86" s="6" t="s">
        <v>144</v>
      </c>
      <c r="D86" s="7" t="s">
        <v>414</v>
      </c>
      <c r="E86" s="10">
        <v>0.01</v>
      </c>
      <c r="F86" s="7">
        <v>30</v>
      </c>
      <c r="G86" s="8">
        <v>0.114</v>
      </c>
      <c r="H86" s="8">
        <v>0.126</v>
      </c>
      <c r="I86" s="7" t="s">
        <v>415</v>
      </c>
      <c r="J86" s="7">
        <v>3884.1982410000001</v>
      </c>
      <c r="K86" s="7">
        <v>25.245164190000001</v>
      </c>
      <c r="L86" s="7">
        <v>0.21950091999999999</v>
      </c>
      <c r="M86" s="7">
        <v>1.1236120439999999</v>
      </c>
      <c r="N86" s="7">
        <v>96.73</v>
      </c>
      <c r="O86" s="7">
        <v>76.22</v>
      </c>
      <c r="P86" s="4"/>
      <c r="Q86" s="4"/>
      <c r="R86" s="4"/>
    </row>
    <row r="87" spans="1:18" ht="15.75" thickBot="1">
      <c r="A87" s="5" t="s">
        <v>85</v>
      </c>
      <c r="B87" s="6" t="s">
        <v>416</v>
      </c>
      <c r="C87" s="6" t="s">
        <v>147</v>
      </c>
      <c r="D87" s="7" t="s">
        <v>417</v>
      </c>
      <c r="E87" s="10">
        <v>0.03</v>
      </c>
      <c r="F87" s="7">
        <v>30</v>
      </c>
      <c r="G87" s="9"/>
      <c r="H87" s="9"/>
      <c r="I87" s="7" t="s">
        <v>340</v>
      </c>
      <c r="J87" s="7">
        <v>5217.979988</v>
      </c>
      <c r="K87" s="7">
        <v>13.79939753</v>
      </c>
      <c r="L87" s="7">
        <v>0.454559086</v>
      </c>
      <c r="M87" s="7">
        <v>0.72943221000000003</v>
      </c>
      <c r="N87" s="7">
        <v>34.020000000000003</v>
      </c>
      <c r="O87" s="7">
        <v>25.18</v>
      </c>
      <c r="P87" s="4"/>
      <c r="Q87" s="4"/>
      <c r="R87" s="4"/>
    </row>
    <row r="88" spans="1:18" ht="15.75" thickBot="1">
      <c r="A88" s="5" t="s">
        <v>135</v>
      </c>
      <c r="B88" s="6" t="s">
        <v>418</v>
      </c>
      <c r="C88" s="6" t="s">
        <v>146</v>
      </c>
      <c r="D88" s="7" t="s">
        <v>419</v>
      </c>
      <c r="E88" s="10">
        <v>0.02</v>
      </c>
      <c r="F88" s="7">
        <v>30</v>
      </c>
      <c r="G88" s="8">
        <v>0.156</v>
      </c>
      <c r="H88" s="8">
        <v>7.6999999999999999E-2</v>
      </c>
      <c r="I88" s="7" t="s">
        <v>168</v>
      </c>
      <c r="J88" s="7">
        <v>4912.9784170000003</v>
      </c>
      <c r="K88" s="7">
        <v>13.917076229999999</v>
      </c>
      <c r="L88" s="7">
        <v>0.19643927999999999</v>
      </c>
      <c r="M88" s="7">
        <v>1.0302258369999999</v>
      </c>
      <c r="N88" s="7">
        <v>111.81</v>
      </c>
      <c r="O88" s="7">
        <v>83.06</v>
      </c>
      <c r="P88" s="4"/>
      <c r="Q88" s="4"/>
      <c r="R88" s="4"/>
    </row>
    <row r="89" spans="1:18" ht="15.75" thickBot="1">
      <c r="A89" s="5" t="s">
        <v>141</v>
      </c>
      <c r="B89" s="6" t="s">
        <v>420</v>
      </c>
      <c r="C89" s="6" t="s">
        <v>148</v>
      </c>
      <c r="D89" s="7" t="s">
        <v>421</v>
      </c>
      <c r="E89" s="10">
        <v>0.02</v>
      </c>
      <c r="F89" s="7">
        <v>30</v>
      </c>
      <c r="G89" s="8">
        <v>7.0000000000000007E-2</v>
      </c>
      <c r="H89" s="8">
        <v>7.0000000000000007E-2</v>
      </c>
      <c r="I89" s="7" t="s">
        <v>400</v>
      </c>
      <c r="J89" s="7">
        <v>12638.033869999999</v>
      </c>
      <c r="K89" s="7">
        <v>29.281006699999999</v>
      </c>
      <c r="L89" s="7">
        <v>0.62665793000000003</v>
      </c>
      <c r="M89" s="7">
        <v>0.52655374300000002</v>
      </c>
      <c r="N89" s="7">
        <v>53.62</v>
      </c>
      <c r="O89" s="7">
        <v>42.89</v>
      </c>
      <c r="P89" s="4"/>
      <c r="Q89" s="4"/>
      <c r="R89" s="4"/>
    </row>
    <row r="90" spans="1:18" ht="15.75" thickBot="1">
      <c r="A90" s="5" t="s">
        <v>32</v>
      </c>
      <c r="B90" s="6" t="s">
        <v>422</v>
      </c>
      <c r="C90" s="6" t="s">
        <v>144</v>
      </c>
      <c r="D90" s="7" t="s">
        <v>423</v>
      </c>
      <c r="E90" s="10">
        <v>0.01</v>
      </c>
      <c r="F90" s="7">
        <v>29</v>
      </c>
      <c r="G90" s="8">
        <v>0.111</v>
      </c>
      <c r="H90" s="8">
        <v>0.11700000000000001</v>
      </c>
      <c r="I90" s="7" t="s">
        <v>424</v>
      </c>
      <c r="J90" s="7">
        <v>2915.8774709999998</v>
      </c>
      <c r="K90" s="7">
        <v>47.89234398</v>
      </c>
      <c r="L90" s="7">
        <v>0.37393351699999999</v>
      </c>
      <c r="M90" s="7">
        <v>1.2892489090000001</v>
      </c>
      <c r="N90" s="7">
        <v>112.13</v>
      </c>
      <c r="O90" s="7">
        <v>85.37</v>
      </c>
      <c r="P90" s="4"/>
      <c r="Q90" s="4"/>
      <c r="R90" s="4"/>
    </row>
    <row r="91" spans="1:18" ht="15.75" thickBot="1">
      <c r="A91" s="5" t="s">
        <v>39</v>
      </c>
      <c r="B91" s="6" t="s">
        <v>425</v>
      </c>
      <c r="C91" s="6" t="s">
        <v>146</v>
      </c>
      <c r="D91" s="7" t="s">
        <v>426</v>
      </c>
      <c r="E91" s="10">
        <v>0.02</v>
      </c>
      <c r="F91" s="7">
        <v>29</v>
      </c>
      <c r="G91" s="8">
        <v>2.4E-2</v>
      </c>
      <c r="H91" s="8">
        <v>6.0999999999999999E-2</v>
      </c>
      <c r="I91" s="7" t="s">
        <v>427</v>
      </c>
      <c r="J91" s="7">
        <v>3831.262076</v>
      </c>
      <c r="K91" s="7">
        <v>20.24455652</v>
      </c>
      <c r="L91" s="7">
        <v>0.48699619300000002</v>
      </c>
      <c r="M91" s="7">
        <v>0.66195174499999998</v>
      </c>
      <c r="N91" s="7">
        <v>80.19</v>
      </c>
      <c r="O91" s="7">
        <v>64.23</v>
      </c>
      <c r="P91" s="4"/>
      <c r="Q91" s="4"/>
      <c r="R91" s="4"/>
    </row>
    <row r="92" spans="1:18" ht="15.75" thickBot="1">
      <c r="A92" s="5" t="s">
        <v>79</v>
      </c>
      <c r="B92" s="6" t="s">
        <v>428</v>
      </c>
      <c r="C92" s="6" t="s">
        <v>147</v>
      </c>
      <c r="D92" s="7" t="s">
        <v>429</v>
      </c>
      <c r="E92" s="10">
        <v>0.02</v>
      </c>
      <c r="F92" s="7">
        <v>29</v>
      </c>
      <c r="G92" s="9"/>
      <c r="H92" s="9"/>
      <c r="I92" s="7" t="s">
        <v>430</v>
      </c>
      <c r="J92" s="7">
        <v>163371.69500000001</v>
      </c>
      <c r="K92" s="7">
        <v>42.700390740000003</v>
      </c>
      <c r="L92" s="7">
        <v>0.59027366100000001</v>
      </c>
      <c r="M92" s="7">
        <v>1.0382819350000001</v>
      </c>
      <c r="N92" s="7">
        <v>350.77</v>
      </c>
      <c r="O92" s="7">
        <v>266.44</v>
      </c>
      <c r="P92" s="4"/>
      <c r="Q92" s="4"/>
      <c r="R92" s="4"/>
    </row>
    <row r="93" spans="1:18" ht="15.75" thickBot="1">
      <c r="A93" s="5" t="s">
        <v>102</v>
      </c>
      <c r="B93" s="6" t="s">
        <v>431</v>
      </c>
      <c r="C93" s="6" t="s">
        <v>146</v>
      </c>
      <c r="D93" s="7" t="s">
        <v>432</v>
      </c>
      <c r="E93" s="10">
        <v>0.03</v>
      </c>
      <c r="F93" s="7">
        <v>29</v>
      </c>
      <c r="G93" s="9"/>
      <c r="H93" s="9"/>
      <c r="I93" s="7" t="s">
        <v>415</v>
      </c>
      <c r="J93" s="7">
        <v>9293.7898949999999</v>
      </c>
      <c r="K93" s="7">
        <v>15.73085629</v>
      </c>
      <c r="L93" s="7">
        <v>0.51731909399999998</v>
      </c>
      <c r="M93" s="7">
        <v>1.090625285</v>
      </c>
      <c r="N93" s="7">
        <v>21.98</v>
      </c>
      <c r="O93" s="7">
        <v>14.71</v>
      </c>
      <c r="P93" s="4"/>
      <c r="Q93" s="4"/>
      <c r="R93" s="4"/>
    </row>
    <row r="94" spans="1:18" ht="15.75" thickBot="1">
      <c r="A94" s="5" t="s">
        <v>110</v>
      </c>
      <c r="B94" s="6" t="s">
        <v>433</v>
      </c>
      <c r="C94" s="6" t="s">
        <v>144</v>
      </c>
      <c r="D94" s="7" t="s">
        <v>434</v>
      </c>
      <c r="E94" s="10">
        <v>0.01</v>
      </c>
      <c r="F94" s="7">
        <v>29</v>
      </c>
      <c r="G94" s="8">
        <v>0.10199999999999999</v>
      </c>
      <c r="H94" s="8">
        <v>0.121</v>
      </c>
      <c r="I94" s="7" t="s">
        <v>276</v>
      </c>
      <c r="J94" s="7">
        <v>49196.136709999999</v>
      </c>
      <c r="K94" s="7">
        <v>42.682749190000003</v>
      </c>
      <c r="L94" s="7">
        <v>0.21286476900000001</v>
      </c>
      <c r="M94" s="7">
        <v>0.74550877100000001</v>
      </c>
      <c r="N94" s="7">
        <v>504.34</v>
      </c>
      <c r="O94" s="7">
        <v>399.64</v>
      </c>
      <c r="P94" s="4"/>
      <c r="Q94" s="4"/>
      <c r="R94" s="4"/>
    </row>
    <row r="95" spans="1:18" ht="15.75" thickBot="1">
      <c r="A95" s="5" t="s">
        <v>130</v>
      </c>
      <c r="B95" s="6" t="s">
        <v>435</v>
      </c>
      <c r="C95" s="6" t="s">
        <v>144</v>
      </c>
      <c r="D95" s="7" t="s">
        <v>436</v>
      </c>
      <c r="E95" s="10">
        <v>0.02</v>
      </c>
      <c r="F95" s="7">
        <v>29</v>
      </c>
      <c r="G95" s="8">
        <v>9.9000000000000005E-2</v>
      </c>
      <c r="H95" s="9"/>
      <c r="I95" s="7" t="s">
        <v>437</v>
      </c>
      <c r="J95" s="7">
        <v>51507.16014</v>
      </c>
      <c r="K95" s="7">
        <v>9.0570001999999992</v>
      </c>
      <c r="L95" s="7">
        <v>0.16961728700000001</v>
      </c>
      <c r="M95" s="7">
        <v>0.69800329699999997</v>
      </c>
      <c r="N95" s="7">
        <v>123.05</v>
      </c>
      <c r="O95" s="7">
        <v>85.82</v>
      </c>
      <c r="P95" s="4"/>
      <c r="Q95" s="4"/>
      <c r="R95" s="4"/>
    </row>
    <row r="96" spans="1:18" ht="15.75" thickBot="1">
      <c r="A96" s="5" t="s">
        <v>137</v>
      </c>
      <c r="B96" s="6" t="s">
        <v>438</v>
      </c>
      <c r="C96" s="6" t="s">
        <v>146</v>
      </c>
      <c r="D96" s="7" t="s">
        <v>439</v>
      </c>
      <c r="E96" s="10">
        <v>0.03</v>
      </c>
      <c r="F96" s="7">
        <v>29</v>
      </c>
      <c r="G96" s="8">
        <v>2.4E-2</v>
      </c>
      <c r="H96" s="8">
        <v>1.4999999999999999E-2</v>
      </c>
      <c r="I96" s="7" t="s">
        <v>440</v>
      </c>
      <c r="J96" s="7">
        <v>1669.3349189999999</v>
      </c>
      <c r="K96" s="7">
        <v>19.296661839999999</v>
      </c>
      <c r="L96" s="7">
        <v>0.509934047</v>
      </c>
      <c r="M96" s="7">
        <v>0.55166188000000005</v>
      </c>
      <c r="N96" s="7">
        <v>63.57</v>
      </c>
      <c r="O96" s="7">
        <v>52.46</v>
      </c>
      <c r="P96" s="4"/>
      <c r="Q96" s="4"/>
      <c r="R96" s="4"/>
    </row>
    <row r="97" spans="1:18" ht="15.75" thickBot="1">
      <c r="A97" s="5" t="s">
        <v>21</v>
      </c>
      <c r="B97" s="6" t="s">
        <v>441</v>
      </c>
      <c r="C97" s="6" t="s">
        <v>144</v>
      </c>
      <c r="D97" s="7" t="s">
        <v>442</v>
      </c>
      <c r="E97" s="10">
        <v>0.02</v>
      </c>
      <c r="F97" s="7">
        <v>28</v>
      </c>
      <c r="G97" s="8">
        <v>7.6999999999999999E-2</v>
      </c>
      <c r="H97" s="8">
        <v>0.14899999999999999</v>
      </c>
      <c r="I97" s="7" t="s">
        <v>443</v>
      </c>
      <c r="J97" s="7">
        <v>10813.110140000001</v>
      </c>
      <c r="K97" s="7">
        <v>22.198953270000001</v>
      </c>
      <c r="L97" s="7">
        <v>0.35557037400000002</v>
      </c>
      <c r="M97" s="7">
        <v>0.99261690999999996</v>
      </c>
      <c r="N97" s="7">
        <v>86.42</v>
      </c>
      <c r="O97" s="7">
        <v>59.9</v>
      </c>
      <c r="P97" s="4"/>
      <c r="Q97" s="4"/>
      <c r="R97" s="4"/>
    </row>
    <row r="98" spans="1:18" ht="15.75" thickBot="1">
      <c r="A98" s="5" t="s">
        <v>25</v>
      </c>
      <c r="B98" s="6" t="s">
        <v>444</v>
      </c>
      <c r="C98" s="6" t="s">
        <v>149</v>
      </c>
      <c r="D98" s="7" t="s">
        <v>445</v>
      </c>
      <c r="E98" s="10">
        <v>0.01</v>
      </c>
      <c r="F98" s="7">
        <v>28</v>
      </c>
      <c r="G98" s="8">
        <v>5.6000000000000001E-2</v>
      </c>
      <c r="H98" s="8">
        <v>3.5000000000000003E-2</v>
      </c>
      <c r="I98" s="7" t="s">
        <v>446</v>
      </c>
      <c r="J98" s="7">
        <v>7686.5035349999998</v>
      </c>
      <c r="K98" s="7">
        <v>31.489545280000002</v>
      </c>
      <c r="L98" s="7">
        <v>0.419101208</v>
      </c>
      <c r="M98" s="7">
        <v>0.64891735699999997</v>
      </c>
      <c r="N98" s="7">
        <v>157.52000000000001</v>
      </c>
      <c r="O98" s="7">
        <v>110.04</v>
      </c>
      <c r="P98" s="4"/>
      <c r="Q98" s="4"/>
      <c r="R98" s="4"/>
    </row>
    <row r="99" spans="1:18" ht="15.75" thickBot="1">
      <c r="A99" s="5" t="s">
        <v>34</v>
      </c>
      <c r="B99" s="6" t="s">
        <v>447</v>
      </c>
      <c r="C99" s="6" t="s">
        <v>146</v>
      </c>
      <c r="D99" s="7" t="s">
        <v>448</v>
      </c>
      <c r="E99" s="10">
        <v>0.01</v>
      </c>
      <c r="F99" s="7">
        <v>28</v>
      </c>
      <c r="G99" s="9"/>
      <c r="H99" s="9"/>
      <c r="I99" s="7" t="s">
        <v>449</v>
      </c>
      <c r="J99" s="7">
        <v>19923.297180000001</v>
      </c>
      <c r="K99" s="7">
        <v>34.699783650000001</v>
      </c>
      <c r="L99" s="7">
        <v>0.18797366800000001</v>
      </c>
      <c r="M99" s="7">
        <v>1.02820343</v>
      </c>
      <c r="N99" s="7">
        <v>70.64</v>
      </c>
      <c r="O99" s="7">
        <v>45.23</v>
      </c>
      <c r="P99" s="4"/>
      <c r="Q99" s="4"/>
      <c r="R99" s="4"/>
    </row>
    <row r="100" spans="1:18" ht="15.75" thickBot="1">
      <c r="A100" s="5" t="s">
        <v>36</v>
      </c>
      <c r="B100" s="6" t="s">
        <v>450</v>
      </c>
      <c r="C100" s="6" t="s">
        <v>144</v>
      </c>
      <c r="D100" s="7" t="s">
        <v>451</v>
      </c>
      <c r="E100" s="10">
        <v>0.02</v>
      </c>
      <c r="F100" s="7">
        <v>28</v>
      </c>
      <c r="G100" s="8">
        <v>7.8E-2</v>
      </c>
      <c r="H100" s="8">
        <v>7.5999999999999998E-2</v>
      </c>
      <c r="I100" s="7" t="s">
        <v>430</v>
      </c>
      <c r="J100" s="7">
        <v>119695.95510000001</v>
      </c>
      <c r="K100" s="7">
        <v>18.445978589999999</v>
      </c>
      <c r="L100" s="7">
        <v>0.36577941800000002</v>
      </c>
      <c r="M100" s="7">
        <v>0.63079613199999995</v>
      </c>
      <c r="N100" s="7">
        <v>242.85</v>
      </c>
      <c r="O100" s="7">
        <v>179.67</v>
      </c>
      <c r="P100" s="4"/>
      <c r="Q100" s="4"/>
      <c r="R100" s="4"/>
    </row>
    <row r="101" spans="1:18" ht="15.75" thickBot="1">
      <c r="A101" s="5" t="s">
        <v>37</v>
      </c>
      <c r="B101" s="6" t="s">
        <v>452</v>
      </c>
      <c r="C101" s="6" t="s">
        <v>146</v>
      </c>
      <c r="D101" s="7" t="s">
        <v>453</v>
      </c>
      <c r="E101" s="10">
        <v>0.02</v>
      </c>
      <c r="F101" s="7">
        <v>28</v>
      </c>
      <c r="G101" s="8">
        <v>2.5999999999999999E-2</v>
      </c>
      <c r="H101" s="8">
        <v>2.4E-2</v>
      </c>
      <c r="I101" s="7" t="s">
        <v>454</v>
      </c>
      <c r="J101" s="7">
        <v>92824.206940000004</v>
      </c>
      <c r="K101" s="7">
        <v>10.87061798</v>
      </c>
      <c r="L101" s="7">
        <v>0.16506749500000001</v>
      </c>
      <c r="M101" s="7">
        <v>0.80461860900000004</v>
      </c>
      <c r="N101" s="7">
        <v>218.09</v>
      </c>
      <c r="O101" s="7">
        <v>153.87</v>
      </c>
      <c r="P101" s="4"/>
      <c r="Q101" s="4"/>
      <c r="R101" s="4"/>
    </row>
    <row r="102" spans="1:18" ht="15.75" thickBot="1">
      <c r="A102" s="5" t="s">
        <v>40</v>
      </c>
      <c r="B102" s="6" t="s">
        <v>455</v>
      </c>
      <c r="C102" s="6" t="s">
        <v>146</v>
      </c>
      <c r="D102" s="7" t="s">
        <v>456</v>
      </c>
      <c r="E102" s="10">
        <v>0.02</v>
      </c>
      <c r="F102" s="7">
        <v>28</v>
      </c>
      <c r="G102" s="8">
        <v>4.2000000000000003E-2</v>
      </c>
      <c r="H102" s="8">
        <v>5.6000000000000001E-2</v>
      </c>
      <c r="I102" s="7" t="s">
        <v>457</v>
      </c>
      <c r="J102" s="7">
        <v>9335.9171229999993</v>
      </c>
      <c r="K102" s="7">
        <v>21.608868430000001</v>
      </c>
      <c r="L102" s="7">
        <v>0.43689146200000001</v>
      </c>
      <c r="M102" s="7">
        <v>1.0854662669999999</v>
      </c>
      <c r="N102" s="7">
        <v>146.57</v>
      </c>
      <c r="O102" s="7">
        <v>98.58</v>
      </c>
      <c r="P102" s="4"/>
      <c r="Q102" s="4"/>
      <c r="R102" s="4"/>
    </row>
    <row r="103" spans="1:18" ht="15.75" thickBot="1">
      <c r="A103" s="5" t="s">
        <v>53</v>
      </c>
      <c r="B103" s="6" t="s">
        <v>458</v>
      </c>
      <c r="C103" s="6" t="s">
        <v>146</v>
      </c>
      <c r="D103" s="7" t="s">
        <v>459</v>
      </c>
      <c r="E103" s="10">
        <v>0.02</v>
      </c>
      <c r="F103" s="7">
        <v>28</v>
      </c>
      <c r="G103" s="9"/>
      <c r="H103" s="9"/>
      <c r="I103" s="7" t="s">
        <v>460</v>
      </c>
      <c r="J103" s="7">
        <v>465.93314700000002</v>
      </c>
      <c r="K103" s="7">
        <v>0</v>
      </c>
      <c r="L103" s="6" t="s">
        <v>155</v>
      </c>
      <c r="M103" s="7">
        <v>0.60055357099999995</v>
      </c>
      <c r="N103" s="7">
        <v>46.24</v>
      </c>
      <c r="O103" s="7">
        <v>31.05</v>
      </c>
      <c r="P103" s="4"/>
      <c r="Q103" s="4"/>
      <c r="R103" s="4"/>
    </row>
    <row r="104" spans="1:18" ht="15.75" thickBot="1">
      <c r="A104" s="5" t="s">
        <v>73</v>
      </c>
      <c r="B104" s="6" t="s">
        <v>461</v>
      </c>
      <c r="C104" s="6" t="s">
        <v>154</v>
      </c>
      <c r="D104" s="7" t="s">
        <v>462</v>
      </c>
      <c r="E104" s="10">
        <v>0.03</v>
      </c>
      <c r="F104" s="7">
        <v>28</v>
      </c>
      <c r="G104" s="8">
        <v>7.0000000000000001E-3</v>
      </c>
      <c r="H104" s="8">
        <v>2.1999999999999999E-2</v>
      </c>
      <c r="I104" s="7" t="s">
        <v>385</v>
      </c>
      <c r="J104" s="7">
        <v>3032.1573360000002</v>
      </c>
      <c r="K104" s="7">
        <v>20.69844999</v>
      </c>
      <c r="L104" s="7">
        <v>0.52690786700000003</v>
      </c>
      <c r="M104" s="7">
        <v>0.83808815000000003</v>
      </c>
      <c r="N104" s="7">
        <v>64.83</v>
      </c>
      <c r="O104" s="7">
        <v>47.93</v>
      </c>
      <c r="P104" s="4"/>
      <c r="Q104" s="4"/>
      <c r="R104" s="4"/>
    </row>
    <row r="105" spans="1:18" ht="15.75" thickBot="1">
      <c r="A105" s="5" t="s">
        <v>81</v>
      </c>
      <c r="B105" s="6" t="s">
        <v>463</v>
      </c>
      <c r="C105" s="6" t="s">
        <v>144</v>
      </c>
      <c r="D105" s="7" t="s">
        <v>464</v>
      </c>
      <c r="E105" s="10">
        <v>0.03</v>
      </c>
      <c r="F105" s="7">
        <v>28</v>
      </c>
      <c r="G105" s="8">
        <v>2.3E-2</v>
      </c>
      <c r="H105" s="8">
        <v>5.2999999999999999E-2</v>
      </c>
      <c r="I105" s="7" t="s">
        <v>465</v>
      </c>
      <c r="J105" s="7">
        <v>1026.650537</v>
      </c>
      <c r="K105" s="6" t="s">
        <v>155</v>
      </c>
      <c r="L105" s="6" t="s">
        <v>155</v>
      </c>
      <c r="M105" s="7">
        <v>1.0115848679999999</v>
      </c>
      <c r="N105" s="7">
        <v>42.98</v>
      </c>
      <c r="O105" s="7">
        <v>31.22</v>
      </c>
      <c r="P105" s="4"/>
      <c r="Q105" s="4"/>
      <c r="R105" s="4"/>
    </row>
    <row r="106" spans="1:18" ht="15.75" thickBot="1">
      <c r="A106" s="5" t="s">
        <v>113</v>
      </c>
      <c r="B106" s="6" t="s">
        <v>466</v>
      </c>
      <c r="C106" s="6" t="s">
        <v>146</v>
      </c>
      <c r="D106" s="7" t="s">
        <v>467</v>
      </c>
      <c r="E106" s="10">
        <v>0.03</v>
      </c>
      <c r="F106" s="7">
        <v>28</v>
      </c>
      <c r="G106" s="8">
        <v>0.03</v>
      </c>
      <c r="H106" s="8">
        <v>2.5000000000000001E-2</v>
      </c>
      <c r="I106" s="7" t="s">
        <v>468</v>
      </c>
      <c r="J106" s="7">
        <v>1337.1810640000001</v>
      </c>
      <c r="K106" s="7">
        <v>11.79161616</v>
      </c>
      <c r="L106" s="7">
        <v>0.37994798299999999</v>
      </c>
      <c r="M106" s="7">
        <v>0.69249117699999996</v>
      </c>
      <c r="N106" s="7">
        <v>44.94</v>
      </c>
      <c r="O106" s="7">
        <v>33.9</v>
      </c>
      <c r="P106" s="4"/>
      <c r="Q106" s="4"/>
      <c r="R106" s="4"/>
    </row>
    <row r="107" spans="1:18" ht="15.75" thickBot="1">
      <c r="A107" s="5" t="s">
        <v>122</v>
      </c>
      <c r="B107" s="6" t="s">
        <v>469</v>
      </c>
      <c r="C107" s="6" t="s">
        <v>150</v>
      </c>
      <c r="D107" s="7" t="s">
        <v>470</v>
      </c>
      <c r="E107" s="10">
        <v>0.01</v>
      </c>
      <c r="F107" s="7">
        <v>28</v>
      </c>
      <c r="G107" s="8">
        <v>0.10299999999999999</v>
      </c>
      <c r="H107" s="8">
        <v>0.10299999999999999</v>
      </c>
      <c r="I107" s="7" t="s">
        <v>471</v>
      </c>
      <c r="J107" s="7">
        <v>100468.2173</v>
      </c>
      <c r="K107" s="7">
        <v>50.38526444</v>
      </c>
      <c r="L107" s="7">
        <v>0.49342564</v>
      </c>
      <c r="M107" s="7">
        <v>1.0677550010000001</v>
      </c>
      <c r="N107" s="7">
        <v>280.43</v>
      </c>
      <c r="O107" s="7">
        <v>235.48</v>
      </c>
      <c r="P107" s="4"/>
      <c r="Q107" s="4"/>
      <c r="R107" s="4"/>
    </row>
    <row r="108" spans="1:18" ht="15.75" thickBot="1">
      <c r="A108" s="5" t="s">
        <v>140</v>
      </c>
      <c r="B108" s="6" t="s">
        <v>472</v>
      </c>
      <c r="C108" s="6" t="s">
        <v>150</v>
      </c>
      <c r="D108" s="7" t="s">
        <v>473</v>
      </c>
      <c r="E108" s="10">
        <v>0</v>
      </c>
      <c r="F108" s="7">
        <v>28</v>
      </c>
      <c r="G108" s="8">
        <v>5.8999999999999997E-2</v>
      </c>
      <c r="H108" s="8">
        <v>6.7000000000000004E-2</v>
      </c>
      <c r="I108" s="7" t="s">
        <v>299</v>
      </c>
      <c r="J108" s="7">
        <v>30101.87113</v>
      </c>
      <c r="K108" s="7">
        <v>45.484846070000003</v>
      </c>
      <c r="L108" s="7">
        <v>8.0712120999999998E-2</v>
      </c>
      <c r="M108" s="7">
        <v>0.947839824</v>
      </c>
      <c r="N108" s="7">
        <v>475.14</v>
      </c>
      <c r="O108" s="7">
        <v>275.29000000000002</v>
      </c>
      <c r="P108" s="4"/>
      <c r="Q108" s="4"/>
      <c r="R108" s="4"/>
    </row>
    <row r="109" spans="1:18" ht="15.75" thickBot="1">
      <c r="A109" s="5" t="s">
        <v>19</v>
      </c>
      <c r="B109" s="6" t="s">
        <v>474</v>
      </c>
      <c r="C109" s="6" t="s">
        <v>147</v>
      </c>
      <c r="D109" s="7" t="s">
        <v>475</v>
      </c>
      <c r="E109" s="10">
        <v>0.01</v>
      </c>
      <c r="F109" s="7">
        <v>27</v>
      </c>
      <c r="G109" s="8">
        <v>1.2999999999999999E-2</v>
      </c>
      <c r="H109" s="8">
        <v>4.2999999999999997E-2</v>
      </c>
      <c r="I109" s="7" t="s">
        <v>337</v>
      </c>
      <c r="J109" s="7">
        <v>25481.314689999999</v>
      </c>
      <c r="K109" s="7">
        <v>206.0394809</v>
      </c>
      <c r="L109" s="7">
        <v>1.472330108</v>
      </c>
      <c r="M109" s="7">
        <v>1.8018458509999999</v>
      </c>
      <c r="N109" s="7">
        <v>290.39999999999998</v>
      </c>
      <c r="O109" s="7">
        <v>142.16999999999999</v>
      </c>
      <c r="P109" s="4"/>
      <c r="Q109" s="4"/>
      <c r="R109" s="4"/>
    </row>
    <row r="110" spans="1:18" ht="15.75" thickBot="1">
      <c r="A110" s="5" t="s">
        <v>23</v>
      </c>
      <c r="B110" s="6" t="s">
        <v>476</v>
      </c>
      <c r="C110" s="6" t="s">
        <v>146</v>
      </c>
      <c r="D110" s="7" t="s">
        <v>477</v>
      </c>
      <c r="E110" s="10">
        <v>0.03</v>
      </c>
      <c r="F110" s="7">
        <v>27</v>
      </c>
      <c r="G110" s="8">
        <v>3.7999999999999999E-2</v>
      </c>
      <c r="H110" s="8">
        <v>1.6E-2</v>
      </c>
      <c r="I110" s="7" t="s">
        <v>240</v>
      </c>
      <c r="J110" s="7">
        <v>534.54099099999996</v>
      </c>
      <c r="K110" s="7">
        <v>10.721483259999999</v>
      </c>
      <c r="L110" s="7">
        <v>0.330147896</v>
      </c>
      <c r="M110" s="7">
        <v>0.59952059499999999</v>
      </c>
      <c r="N110" s="7">
        <v>37.659999999999997</v>
      </c>
      <c r="O110" s="7">
        <v>31.54</v>
      </c>
      <c r="P110" s="4"/>
      <c r="Q110" s="4"/>
      <c r="R110" s="4"/>
    </row>
    <row r="111" spans="1:18" ht="15.75" thickBot="1">
      <c r="A111" s="5" t="s">
        <v>27</v>
      </c>
      <c r="B111" s="6" t="s">
        <v>478</v>
      </c>
      <c r="C111" s="6" t="s">
        <v>146</v>
      </c>
      <c r="D111" s="7" t="s">
        <v>479</v>
      </c>
      <c r="E111" s="10">
        <v>0.02</v>
      </c>
      <c r="F111" s="7">
        <v>27</v>
      </c>
      <c r="G111" s="8">
        <v>5.8999999999999997E-2</v>
      </c>
      <c r="H111" s="9"/>
      <c r="I111" s="7" t="s">
        <v>480</v>
      </c>
      <c r="J111" s="7">
        <v>2731.184401</v>
      </c>
      <c r="K111" s="7">
        <v>16.292933250000001</v>
      </c>
      <c r="L111" s="7">
        <v>0.27611677800000001</v>
      </c>
      <c r="M111" s="7">
        <v>0.64425966999999995</v>
      </c>
      <c r="N111" s="7">
        <v>83.7</v>
      </c>
      <c r="O111" s="7">
        <v>53.18</v>
      </c>
      <c r="P111" s="4"/>
      <c r="Q111" s="4"/>
      <c r="R111" s="4"/>
    </row>
    <row r="112" spans="1:18" ht="15.75" thickBot="1">
      <c r="A112" s="5" t="s">
        <v>45</v>
      </c>
      <c r="B112" s="6" t="s">
        <v>481</v>
      </c>
      <c r="C112" s="6" t="s">
        <v>144</v>
      </c>
      <c r="D112" s="7" t="s">
        <v>482</v>
      </c>
      <c r="E112" s="10">
        <v>0.02</v>
      </c>
      <c r="F112" s="7">
        <v>27</v>
      </c>
      <c r="G112" s="8">
        <v>0.505</v>
      </c>
      <c r="H112" s="8">
        <v>0.122</v>
      </c>
      <c r="I112" s="7" t="s">
        <v>288</v>
      </c>
      <c r="J112" s="7">
        <v>94959.582420000006</v>
      </c>
      <c r="K112" s="7">
        <v>24.712610160000001</v>
      </c>
      <c r="L112" s="7">
        <v>0.40663584400000002</v>
      </c>
      <c r="M112" s="7">
        <v>0.76919627599999996</v>
      </c>
      <c r="N112" s="7">
        <v>136.25</v>
      </c>
      <c r="O112" s="7">
        <v>99.82</v>
      </c>
      <c r="P112" s="4"/>
      <c r="Q112" s="4"/>
      <c r="R112" s="4"/>
    </row>
    <row r="113" spans="1:18" ht="15.75" thickBot="1">
      <c r="A113" s="5" t="s">
        <v>57</v>
      </c>
      <c r="B113" s="6" t="s">
        <v>483</v>
      </c>
      <c r="C113" s="6" t="s">
        <v>151</v>
      </c>
      <c r="D113" s="7" t="s">
        <v>484</v>
      </c>
      <c r="E113" s="10">
        <v>0.06</v>
      </c>
      <c r="F113" s="7">
        <v>27</v>
      </c>
      <c r="G113" s="8">
        <v>0.03</v>
      </c>
      <c r="H113" s="8">
        <v>0.14000000000000001</v>
      </c>
      <c r="I113" s="7" t="s">
        <v>207</v>
      </c>
      <c r="J113" s="7">
        <v>93933.461689999996</v>
      </c>
      <c r="K113" s="7">
        <v>20.561850639999999</v>
      </c>
      <c r="L113" s="7">
        <v>1.3213569570000001</v>
      </c>
      <c r="M113" s="7">
        <v>0.42203312799999998</v>
      </c>
      <c r="N113" s="7">
        <v>46.37</v>
      </c>
      <c r="O113" s="7">
        <v>33.9</v>
      </c>
      <c r="P113" s="4"/>
      <c r="Q113" s="4"/>
      <c r="R113" s="4"/>
    </row>
    <row r="114" spans="1:18" ht="15.75" thickBot="1">
      <c r="A114" s="5" t="s">
        <v>59</v>
      </c>
      <c r="B114" s="6" t="s">
        <v>485</v>
      </c>
      <c r="C114" s="6" t="s">
        <v>152</v>
      </c>
      <c r="D114" s="7" t="s">
        <v>486</v>
      </c>
      <c r="E114" s="10">
        <v>0.03</v>
      </c>
      <c r="F114" s="7">
        <v>27</v>
      </c>
      <c r="G114" s="8">
        <v>6.0000000000000001E-3</v>
      </c>
      <c r="H114" s="8">
        <v>3.5999999999999997E-2</v>
      </c>
      <c r="I114" s="7" t="s">
        <v>487</v>
      </c>
      <c r="J114" s="7">
        <v>22227.494289999999</v>
      </c>
      <c r="K114" s="7">
        <v>45.496494319999996</v>
      </c>
      <c r="L114" s="7">
        <v>1.1027381839999999</v>
      </c>
      <c r="M114" s="7">
        <v>0.73871593400000002</v>
      </c>
      <c r="N114" s="7">
        <v>359.49</v>
      </c>
      <c r="O114" s="7">
        <v>266.3</v>
      </c>
      <c r="P114" s="4"/>
      <c r="Q114" s="4"/>
      <c r="R114" s="4"/>
    </row>
    <row r="115" spans="1:18" ht="15.75" thickBot="1">
      <c r="A115" s="5" t="s">
        <v>60</v>
      </c>
      <c r="B115" s="6" t="s">
        <v>488</v>
      </c>
      <c r="C115" s="6" t="s">
        <v>144</v>
      </c>
      <c r="D115" s="7" t="s">
        <v>489</v>
      </c>
      <c r="E115" s="10">
        <v>0.01</v>
      </c>
      <c r="F115" s="7">
        <v>27</v>
      </c>
      <c r="G115" s="9"/>
      <c r="H115" s="9"/>
      <c r="I115" s="7" t="s">
        <v>490</v>
      </c>
      <c r="J115" s="7">
        <v>17226.93477</v>
      </c>
      <c r="K115" s="7">
        <v>12.17028056</v>
      </c>
      <c r="L115" s="7">
        <v>0.13994512100000001</v>
      </c>
      <c r="M115" s="7">
        <v>0.87184048800000002</v>
      </c>
      <c r="N115" s="7">
        <v>137.80000000000001</v>
      </c>
      <c r="O115" s="7">
        <v>97.37</v>
      </c>
      <c r="P115" s="4"/>
      <c r="Q115" s="4"/>
      <c r="R115" s="4"/>
    </row>
    <row r="116" spans="1:18" ht="15.75" thickBot="1">
      <c r="A116" s="5" t="s">
        <v>93</v>
      </c>
      <c r="B116" s="6" t="s">
        <v>491</v>
      </c>
      <c r="C116" s="6" t="s">
        <v>148</v>
      </c>
      <c r="D116" s="7" t="s">
        <v>492</v>
      </c>
      <c r="E116" s="10">
        <v>0.02</v>
      </c>
      <c r="F116" s="7">
        <v>27</v>
      </c>
      <c r="G116" s="8">
        <v>0.104</v>
      </c>
      <c r="H116" s="9"/>
      <c r="I116" s="7" t="s">
        <v>493</v>
      </c>
      <c r="J116" s="7">
        <v>164444.33180000001</v>
      </c>
      <c r="K116" s="7">
        <v>46.024162259999997</v>
      </c>
      <c r="L116" s="7">
        <v>0.86658848700000002</v>
      </c>
      <c r="M116" s="7">
        <v>0.54592552299999997</v>
      </c>
      <c r="N116" s="7">
        <v>93.21</v>
      </c>
      <c r="O116" s="7">
        <v>69.41</v>
      </c>
      <c r="P116" s="4"/>
      <c r="Q116" s="4"/>
      <c r="R116" s="4"/>
    </row>
    <row r="117" spans="1:18" ht="15.75" thickBot="1">
      <c r="A117" s="5" t="s">
        <v>109</v>
      </c>
      <c r="B117" s="6" t="s">
        <v>494</v>
      </c>
      <c r="C117" s="6" t="s">
        <v>146</v>
      </c>
      <c r="D117" s="7" t="s">
        <v>495</v>
      </c>
      <c r="E117" s="10">
        <v>0.01</v>
      </c>
      <c r="F117" s="7">
        <v>27</v>
      </c>
      <c r="G117" s="8">
        <v>2.8000000000000001E-2</v>
      </c>
      <c r="H117" s="8">
        <v>2.9000000000000001E-2</v>
      </c>
      <c r="I117" s="7" t="s">
        <v>496</v>
      </c>
      <c r="J117" s="7">
        <v>6727.9897170000004</v>
      </c>
      <c r="K117" s="6" t="s">
        <v>155</v>
      </c>
      <c r="L117" s="6" t="s">
        <v>155</v>
      </c>
      <c r="M117" s="7">
        <v>0.72454206600000004</v>
      </c>
      <c r="N117" s="7">
        <v>174.09</v>
      </c>
      <c r="O117" s="7">
        <v>134.35</v>
      </c>
      <c r="P117" s="4"/>
      <c r="Q117" s="4"/>
      <c r="R117" s="4"/>
    </row>
    <row r="118" spans="1:18" ht="15.75" thickBot="1">
      <c r="A118" s="5" t="s">
        <v>112</v>
      </c>
      <c r="B118" s="6" t="s">
        <v>497</v>
      </c>
      <c r="C118" s="6" t="s">
        <v>144</v>
      </c>
      <c r="D118" s="7" t="s">
        <v>498</v>
      </c>
      <c r="E118" s="10">
        <v>0.02</v>
      </c>
      <c r="F118" s="7">
        <v>27</v>
      </c>
      <c r="G118" s="8">
        <v>7.3999999999999996E-2</v>
      </c>
      <c r="H118" s="9"/>
      <c r="I118" s="7" t="s">
        <v>180</v>
      </c>
      <c r="J118" s="7">
        <v>152648.1899</v>
      </c>
      <c r="K118" s="7">
        <v>39.505225119999999</v>
      </c>
      <c r="L118" s="7">
        <v>0.79008474500000003</v>
      </c>
      <c r="M118" s="7">
        <v>0.75671843800000005</v>
      </c>
      <c r="N118" s="7">
        <v>104.34</v>
      </c>
      <c r="O118" s="7">
        <v>74.31</v>
      </c>
      <c r="P118" s="4"/>
      <c r="Q118" s="4"/>
      <c r="R118" s="4"/>
    </row>
    <row r="119" spans="1:18" ht="15.75" thickBot="1">
      <c r="A119" s="5" t="s">
        <v>41</v>
      </c>
      <c r="B119" s="6" t="s">
        <v>499</v>
      </c>
      <c r="C119" s="6" t="s">
        <v>145</v>
      </c>
      <c r="D119" s="7" t="s">
        <v>500</v>
      </c>
      <c r="E119" s="10">
        <v>0.01</v>
      </c>
      <c r="F119" s="7">
        <v>26</v>
      </c>
      <c r="G119" s="8">
        <v>0.04</v>
      </c>
      <c r="H119" s="8">
        <v>6.7000000000000004E-2</v>
      </c>
      <c r="I119" s="7" t="s">
        <v>240</v>
      </c>
      <c r="J119" s="7">
        <v>23776.88147</v>
      </c>
      <c r="K119" s="7">
        <v>28.7333915</v>
      </c>
      <c r="L119" s="7">
        <v>0.305966403</v>
      </c>
      <c r="M119" s="7">
        <v>0.200263884</v>
      </c>
      <c r="N119" s="7">
        <v>104.56</v>
      </c>
      <c r="O119" s="7">
        <v>80.319999999999993</v>
      </c>
      <c r="P119" s="4"/>
      <c r="Q119" s="4"/>
      <c r="R119" s="4"/>
    </row>
    <row r="120" spans="1:18" ht="15.75" thickBot="1">
      <c r="A120" s="5" t="s">
        <v>69</v>
      </c>
      <c r="B120" s="6" t="s">
        <v>501</v>
      </c>
      <c r="C120" s="6" t="s">
        <v>153</v>
      </c>
      <c r="D120" s="7" t="s">
        <v>502</v>
      </c>
      <c r="E120" s="10">
        <v>0.05</v>
      </c>
      <c r="F120" s="7">
        <v>26</v>
      </c>
      <c r="G120" s="8">
        <v>6.0000000000000001E-3</v>
      </c>
      <c r="H120" s="8">
        <v>1.7999999999999999E-2</v>
      </c>
      <c r="I120" s="7" t="s">
        <v>503</v>
      </c>
      <c r="J120" s="7">
        <v>118124.3667</v>
      </c>
      <c r="K120" s="7">
        <v>20.568407919999999</v>
      </c>
      <c r="L120" s="7">
        <v>1.0142616579999999</v>
      </c>
      <c r="M120" s="7">
        <v>0.45359882400000001</v>
      </c>
      <c r="N120" s="7">
        <v>147.34</v>
      </c>
      <c r="O120" s="7">
        <v>113.2</v>
      </c>
      <c r="P120" s="4"/>
      <c r="Q120" s="4"/>
      <c r="R120" s="4"/>
    </row>
    <row r="121" spans="1:18" ht="15.75" thickBot="1">
      <c r="A121" s="5" t="s">
        <v>77</v>
      </c>
      <c r="B121" s="6" t="s">
        <v>504</v>
      </c>
      <c r="C121" s="6" t="s">
        <v>144</v>
      </c>
      <c r="D121" s="7" t="s">
        <v>505</v>
      </c>
      <c r="E121" s="8">
        <v>1.7000000000000001E-2</v>
      </c>
      <c r="F121" s="7">
        <v>26</v>
      </c>
      <c r="G121" s="9"/>
      <c r="H121" s="9"/>
      <c r="I121" s="7" t="s">
        <v>506</v>
      </c>
      <c r="J121" s="7">
        <v>7897.9230870000001</v>
      </c>
      <c r="K121" s="7">
        <v>28.56742994</v>
      </c>
      <c r="L121" s="7">
        <v>0.45174604299999999</v>
      </c>
      <c r="M121" s="7">
        <v>0.81975387200000005</v>
      </c>
      <c r="N121" s="7">
        <v>147.94999999999999</v>
      </c>
      <c r="O121" s="7">
        <v>118.18</v>
      </c>
      <c r="P121" s="4"/>
      <c r="Q121" s="4"/>
      <c r="R121" s="4"/>
    </row>
    <row r="122" spans="1:18" ht="15.75" thickBot="1">
      <c r="A122" s="5" t="s">
        <v>99</v>
      </c>
      <c r="B122" s="6" t="s">
        <v>507</v>
      </c>
      <c r="C122" s="6" t="s">
        <v>152</v>
      </c>
      <c r="D122" s="7" t="s">
        <v>508</v>
      </c>
      <c r="E122" s="8">
        <v>4.3999999999999997E-2</v>
      </c>
      <c r="F122" s="7">
        <v>26</v>
      </c>
      <c r="G122" s="8">
        <v>4.3999999999999997E-2</v>
      </c>
      <c r="H122" s="8">
        <v>1.0999999999999999E-2</v>
      </c>
      <c r="I122" s="7" t="s">
        <v>509</v>
      </c>
      <c r="J122" s="7">
        <v>40180.23158</v>
      </c>
      <c r="K122" s="7">
        <v>111.7806674</v>
      </c>
      <c r="L122" s="7">
        <v>3.248692396</v>
      </c>
      <c r="M122" s="7">
        <v>0.62088636100000005</v>
      </c>
      <c r="N122" s="7">
        <v>73.31</v>
      </c>
      <c r="O122" s="7">
        <v>60.86</v>
      </c>
      <c r="P122" s="4"/>
      <c r="Q122" s="4"/>
      <c r="R122" s="4"/>
    </row>
    <row r="123" spans="1:18" ht="15.75" thickBot="1">
      <c r="A123" s="5" t="s">
        <v>101</v>
      </c>
      <c r="B123" s="6" t="s">
        <v>510</v>
      </c>
      <c r="C123" s="6" t="s">
        <v>146</v>
      </c>
      <c r="D123" s="7" t="s">
        <v>511</v>
      </c>
      <c r="E123" s="8">
        <v>2.7E-2</v>
      </c>
      <c r="F123" s="7">
        <v>26</v>
      </c>
      <c r="G123" s="9"/>
      <c r="H123" s="9"/>
      <c r="I123" s="7" t="s">
        <v>512</v>
      </c>
      <c r="J123" s="7">
        <v>5325.0803530000003</v>
      </c>
      <c r="K123" s="7">
        <v>9.1970140859999994</v>
      </c>
      <c r="L123" s="7">
        <v>0.25597312900000002</v>
      </c>
      <c r="M123" s="7">
        <v>1.0407037939999999</v>
      </c>
      <c r="N123" s="7">
        <v>51.08</v>
      </c>
      <c r="O123" s="7">
        <v>37.270000000000003</v>
      </c>
      <c r="P123" s="4"/>
      <c r="Q123" s="4"/>
      <c r="R123" s="4"/>
    </row>
    <row r="124" spans="1:18" ht="15.75" thickBot="1">
      <c r="A124" s="5" t="s">
        <v>106</v>
      </c>
      <c r="B124" s="6" t="s">
        <v>513</v>
      </c>
      <c r="C124" s="6" t="s">
        <v>149</v>
      </c>
      <c r="D124" s="7" t="s">
        <v>514</v>
      </c>
      <c r="E124" s="8">
        <v>2.4E-2</v>
      </c>
      <c r="F124" s="7">
        <v>26</v>
      </c>
      <c r="G124" s="8">
        <v>1.6E-2</v>
      </c>
      <c r="H124" s="8">
        <v>0.02</v>
      </c>
      <c r="I124" s="7" t="s">
        <v>515</v>
      </c>
      <c r="J124" s="7">
        <v>6334.2819689999997</v>
      </c>
      <c r="K124" s="7">
        <v>12.825029300000001</v>
      </c>
      <c r="L124" s="7">
        <v>0.31851732599999999</v>
      </c>
      <c r="M124" s="7">
        <v>1.0866746329999999</v>
      </c>
      <c r="N124" s="7">
        <v>144.69999999999999</v>
      </c>
      <c r="O124" s="7">
        <v>99.98</v>
      </c>
      <c r="P124" s="4"/>
      <c r="Q124" s="4"/>
      <c r="R124" s="4"/>
    </row>
    <row r="125" spans="1:18" ht="15.75" thickBot="1">
      <c r="A125" s="5" t="s">
        <v>65</v>
      </c>
      <c r="B125" s="6" t="s">
        <v>516</v>
      </c>
      <c r="C125" s="6" t="s">
        <v>144</v>
      </c>
      <c r="D125" s="7" t="s">
        <v>517</v>
      </c>
      <c r="E125" s="8">
        <v>1.2E-2</v>
      </c>
      <c r="F125" s="7">
        <v>25</v>
      </c>
      <c r="G125" s="8">
        <v>0.12</v>
      </c>
      <c r="H125" s="9"/>
      <c r="I125" s="7" t="s">
        <v>409</v>
      </c>
      <c r="J125" s="7">
        <v>11738.77794</v>
      </c>
      <c r="K125" s="7">
        <v>26.687168239999998</v>
      </c>
      <c r="L125" s="7">
        <v>0.30536529800000001</v>
      </c>
      <c r="M125" s="7">
        <v>0.96825613200000005</v>
      </c>
      <c r="N125" s="7">
        <v>80.87</v>
      </c>
      <c r="O125" s="7">
        <v>66.41</v>
      </c>
      <c r="P125" s="4"/>
      <c r="Q125" s="4"/>
      <c r="R125" s="4"/>
    </row>
    <row r="126" spans="1:18" ht="15.75" thickBot="1">
      <c r="A126" s="5" t="s">
        <v>95</v>
      </c>
      <c r="B126" s="6" t="s">
        <v>518</v>
      </c>
      <c r="C126" s="6" t="s">
        <v>148</v>
      </c>
      <c r="D126" s="7" t="s">
        <v>519</v>
      </c>
      <c r="E126" s="8">
        <v>3.2000000000000001E-2</v>
      </c>
      <c r="F126" s="7">
        <v>25</v>
      </c>
      <c r="G126" s="8">
        <v>0.09</v>
      </c>
      <c r="H126" s="8">
        <v>7.2999999999999995E-2</v>
      </c>
      <c r="I126" s="7" t="s">
        <v>302</v>
      </c>
      <c r="J126" s="7">
        <v>4372.7150190000002</v>
      </c>
      <c r="K126" s="7">
        <v>29.51406291</v>
      </c>
      <c r="L126" s="7">
        <v>0.91610259199999999</v>
      </c>
      <c r="M126" s="7">
        <v>0.53128971300000005</v>
      </c>
      <c r="N126" s="7">
        <v>45.71</v>
      </c>
      <c r="O126" s="7">
        <v>33.81</v>
      </c>
      <c r="P126" s="4"/>
      <c r="Q126" s="4"/>
      <c r="R126" s="4"/>
    </row>
    <row r="127" spans="1:18" ht="15.75" thickBot="1">
      <c r="A127" s="5" t="s">
        <v>143</v>
      </c>
      <c r="B127" s="6" t="s">
        <v>520</v>
      </c>
      <c r="C127" s="6" t="s">
        <v>148</v>
      </c>
      <c r="D127" s="7" t="s">
        <v>521</v>
      </c>
      <c r="E127" s="8">
        <v>1.7000000000000001E-2</v>
      </c>
      <c r="F127" s="7">
        <v>25</v>
      </c>
      <c r="G127" s="8">
        <v>0.04</v>
      </c>
      <c r="H127" s="8">
        <v>0.04</v>
      </c>
      <c r="I127" s="7" t="s">
        <v>219</v>
      </c>
      <c r="J127" s="7">
        <v>586.25109399999997</v>
      </c>
      <c r="K127" s="7">
        <v>34.51784585</v>
      </c>
      <c r="L127" s="7">
        <v>0.58443215999999998</v>
      </c>
      <c r="M127" s="7">
        <v>0.4205257</v>
      </c>
      <c r="N127" s="7">
        <v>53.09</v>
      </c>
      <c r="O127" s="7">
        <v>41.91</v>
      </c>
      <c r="P127" s="4"/>
      <c r="Q127" s="4"/>
      <c r="R127" s="4"/>
    </row>
    <row r="128" spans="1:18" ht="15.75" thickBot="1">
      <c r="A128" s="5" t="s">
        <v>96</v>
      </c>
      <c r="B128" s="6" t="s">
        <v>522</v>
      </c>
      <c r="C128" s="6" t="s">
        <v>152</v>
      </c>
      <c r="D128" s="7" t="s">
        <v>523</v>
      </c>
      <c r="E128" s="8">
        <v>4.8000000000000001E-2</v>
      </c>
      <c r="F128" s="7">
        <v>21</v>
      </c>
      <c r="G128" s="8">
        <v>1.9E-2</v>
      </c>
      <c r="H128" s="8">
        <v>3.1E-2</v>
      </c>
      <c r="I128" s="7" t="s">
        <v>524</v>
      </c>
      <c r="J128" s="7">
        <v>7761.3112689999998</v>
      </c>
      <c r="K128" s="7">
        <v>29.45156214</v>
      </c>
      <c r="L128" s="7">
        <v>1.3729803039999999</v>
      </c>
      <c r="M128" s="7">
        <v>0.72770279100000002</v>
      </c>
      <c r="N128" s="7">
        <v>48.76</v>
      </c>
      <c r="O128" s="7">
        <v>40.65</v>
      </c>
      <c r="P128" s="4"/>
      <c r="Q128" s="4"/>
      <c r="R128" s="4"/>
    </row>
    <row r="129" spans="1:18" ht="15.75" thickBot="1">
      <c r="A129" s="5" t="s">
        <v>62</v>
      </c>
      <c r="B129" s="6" t="s">
        <v>525</v>
      </c>
      <c r="C129" s="6" t="s">
        <v>146</v>
      </c>
      <c r="D129" s="7" t="s">
        <v>526</v>
      </c>
      <c r="E129" s="8">
        <v>0.04</v>
      </c>
      <c r="F129" s="7">
        <v>13</v>
      </c>
      <c r="G129" s="8">
        <v>5.2999999999999999E-2</v>
      </c>
      <c r="H129" s="8">
        <v>7.3999999999999996E-2</v>
      </c>
      <c r="I129" s="7" t="s">
        <v>424</v>
      </c>
      <c r="J129" s="7">
        <v>467.72346700000003</v>
      </c>
      <c r="K129" s="7">
        <v>10.85482296</v>
      </c>
      <c r="L129" s="7">
        <v>0.43046093200000002</v>
      </c>
      <c r="M129" s="7">
        <v>0.51330348999999997</v>
      </c>
      <c r="N129" s="7">
        <v>23.1</v>
      </c>
      <c r="O129" s="7">
        <v>18.84</v>
      </c>
      <c r="P129" s="4"/>
      <c r="Q129" s="4"/>
      <c r="R129" s="4"/>
    </row>
    <row r="130" spans="1:18" ht="15.75" thickBot="1">
      <c r="A130" s="5" t="s">
        <v>20</v>
      </c>
      <c r="B130" s="6" t="s">
        <v>527</v>
      </c>
      <c r="C130" s="6" t="s">
        <v>145</v>
      </c>
      <c r="D130" s="7" t="s">
        <v>528</v>
      </c>
      <c r="E130" s="8">
        <v>1.2999999999999999E-2</v>
      </c>
      <c r="F130" s="9"/>
      <c r="G130" s="8">
        <v>2.9000000000000001E-2</v>
      </c>
      <c r="H130" s="8">
        <v>2.4E-2</v>
      </c>
      <c r="I130" s="7" t="s">
        <v>299</v>
      </c>
      <c r="J130" s="7">
        <v>1876.464174</v>
      </c>
      <c r="K130" s="7">
        <v>18.045353939999998</v>
      </c>
      <c r="L130" s="7">
        <v>0.227893401</v>
      </c>
      <c r="M130" s="7">
        <v>0.89013314399999999</v>
      </c>
      <c r="N130" s="7">
        <v>55.38</v>
      </c>
      <c r="O130" s="7">
        <v>24.94</v>
      </c>
      <c r="P130" s="4"/>
      <c r="Q130" s="4"/>
      <c r="R130" s="4"/>
    </row>
    <row r="131" spans="1:18" ht="15.75" thickBot="1">
      <c r="A131" s="12"/>
      <c r="B131" s="12"/>
      <c r="C131" s="1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5.75" thickBot="1">
      <c r="A132" s="12"/>
      <c r="B132" s="12"/>
      <c r="C132" s="1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5.75" thickBot="1">
      <c r="A133" s="12"/>
      <c r="B133" s="12"/>
      <c r="C133" s="1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5" spans="1:18" ht="18.75">
      <c r="B135" s="14" t="s">
        <v>529</v>
      </c>
    </row>
    <row r="137" spans="1:18" ht="18.75">
      <c r="B137" s="14" t="s">
        <v>530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25.7109375" customWidth="1"/>
    <col min="2" max="2" width="45.7109375" customWidth="1"/>
    <col min="3" max="9" width="25.7109375" customWidth="1"/>
  </cols>
  <sheetData>
    <row r="1" spans="1:9">
      <c r="A1" s="1" t="s">
        <v>14</v>
      </c>
      <c r="B1" s="1" t="s">
        <v>0</v>
      </c>
      <c r="C1" s="1" t="s">
        <v>156</v>
      </c>
      <c r="D1" s="1" t="s">
        <v>157</v>
      </c>
      <c r="E1" s="1" t="s">
        <v>158</v>
      </c>
      <c r="F1" s="1" t="s">
        <v>159</v>
      </c>
      <c r="G1" s="1" t="s">
        <v>160</v>
      </c>
      <c r="H1" s="1" t="s">
        <v>161</v>
      </c>
      <c r="I1" s="1" t="s">
        <v>162</v>
      </c>
    </row>
    <row r="2" spans="1:9">
      <c r="A2" s="1" t="s">
        <v>15</v>
      </c>
      <c r="B2" t="str">
        <f>HYPERLINK("https://www.suredividend.com/sure-analysis-ABM/","ABM Industries Inc.")</f>
        <v>ABM Industries Inc.</v>
      </c>
      <c r="C2">
        <v>9.876543209876E-3</v>
      </c>
      <c r="D2">
        <v>8.8384357650018008E-2</v>
      </c>
      <c r="E2">
        <v>1.2775057684731E-2</v>
      </c>
      <c r="F2">
        <v>0.10650103173412501</v>
      </c>
      <c r="G2">
        <v>-0.128428459067714</v>
      </c>
      <c r="H2">
        <v>1.1225102139022289</v>
      </c>
      <c r="I2">
        <v>0.14665980216996199</v>
      </c>
    </row>
    <row r="3" spans="1:9">
      <c r="A3" s="1" t="s">
        <v>16</v>
      </c>
      <c r="B3" t="str">
        <f>HYPERLINK("https://www.suredividend.com/sure-analysis-ADM/","Archer Daniels Midland Co.")</f>
        <v>Archer Daniels Midland Co.</v>
      </c>
      <c r="C3">
        <v>0.184917617237008</v>
      </c>
      <c r="D3">
        <v>0.43622406262913899</v>
      </c>
      <c r="E3">
        <v>0.58147497196176301</v>
      </c>
      <c r="F3">
        <v>0.39053945315463101</v>
      </c>
      <c r="G3">
        <v>0.650716858535207</v>
      </c>
      <c r="H3">
        <v>1.865426994289987</v>
      </c>
      <c r="I3">
        <v>1.382596773083715</v>
      </c>
    </row>
    <row r="4" spans="1:9">
      <c r="A4" s="1" t="s">
        <v>17</v>
      </c>
      <c r="B4" t="str">
        <f>HYPERLINK("https://www.suredividend.com/sure-analysis-ADP/","Automatic Data Processing Inc.")</f>
        <v>Automatic Data Processing Inc.</v>
      </c>
      <c r="C4">
        <v>7.7176150068970009E-2</v>
      </c>
      <c r="D4">
        <v>-9.0364692993931003E-2</v>
      </c>
      <c r="E4">
        <v>9.3429191424488009E-2</v>
      </c>
      <c r="F4">
        <v>-0.1072603971925</v>
      </c>
      <c r="G4">
        <v>0.15816846105933399</v>
      </c>
      <c r="H4">
        <v>0.66610632837446604</v>
      </c>
      <c r="I4">
        <v>1.3545548554094351</v>
      </c>
    </row>
    <row r="5" spans="1:9">
      <c r="A5" s="1" t="s">
        <v>18</v>
      </c>
      <c r="B5" t="str">
        <f>HYPERLINK("https://www.suredividend.com/sure-analysis-AFL/","Aflac Inc.")</f>
        <v>Aflac Inc.</v>
      </c>
      <c r="C5">
        <v>5.7788539144470998E-2</v>
      </c>
      <c r="D5">
        <v>0.14301761534395999</v>
      </c>
      <c r="E5">
        <v>0.26013414765472298</v>
      </c>
      <c r="F5">
        <v>0.12931550004049799</v>
      </c>
      <c r="G5">
        <v>0.30131899294233511</v>
      </c>
      <c r="H5">
        <v>0.91766310232413806</v>
      </c>
      <c r="I5">
        <v>1.001197114709242</v>
      </c>
    </row>
    <row r="6" spans="1:9">
      <c r="A6" s="1" t="s">
        <v>19</v>
      </c>
      <c r="B6" t="str">
        <f>HYPERLINK("https://www.suredividend.com/sure-analysis-ALB/","Albemarle Corp.")</f>
        <v>Albemarle Corp.</v>
      </c>
      <c r="C6">
        <v>0.13587006456678399</v>
      </c>
      <c r="D6">
        <v>-4.3307084883082013E-2</v>
      </c>
      <c r="E6">
        <v>-3.5399567929230012E-2</v>
      </c>
      <c r="F6">
        <v>-6.7329883508395999E-2</v>
      </c>
      <c r="G6">
        <v>0.45771598590119711</v>
      </c>
      <c r="H6">
        <v>2.6766482648376368</v>
      </c>
      <c r="I6">
        <v>1.2321414831768669</v>
      </c>
    </row>
    <row r="7" spans="1:9">
      <c r="A7" s="1" t="s">
        <v>20</v>
      </c>
      <c r="B7" t="str">
        <f>HYPERLINK("https://www.suredividend.com/sure-analysis-research-database/","Andersons Inc.")</f>
        <v>Andersons Inc.</v>
      </c>
      <c r="C7">
        <v>0.25820419325432997</v>
      </c>
      <c r="D7">
        <v>0.45549164034777812</v>
      </c>
      <c r="E7">
        <v>0.84947590924469907</v>
      </c>
      <c r="F7">
        <v>0.42624644794626698</v>
      </c>
      <c r="G7">
        <v>0.95258759411924909</v>
      </c>
      <c r="H7">
        <v>2.3104283589964978</v>
      </c>
      <c r="I7">
        <v>0.64348248013740805</v>
      </c>
    </row>
    <row r="8" spans="1:9">
      <c r="A8" s="1" t="s">
        <v>21</v>
      </c>
      <c r="B8" t="str">
        <f>HYPERLINK("https://www.suredividend.com/sure-analysis-AOS/","A.O. Smith Corp.")</f>
        <v>A.O. Smith Corp.</v>
      </c>
      <c r="C8">
        <v>-3.4875342268338001E-2</v>
      </c>
      <c r="D8">
        <v>-0.1878929721274</v>
      </c>
      <c r="E8">
        <v>5.3892177875975007E-2</v>
      </c>
      <c r="F8">
        <v>-0.21702826157358901</v>
      </c>
      <c r="G8">
        <v>-2.0980861104125999E-2</v>
      </c>
      <c r="H8">
        <v>0.86181377414144411</v>
      </c>
      <c r="I8">
        <v>0.41767853816321998</v>
      </c>
    </row>
    <row r="9" spans="1:9">
      <c r="A9" s="1" t="s">
        <v>22</v>
      </c>
      <c r="B9" t="str">
        <f>HYPERLINK("https://www.suredividend.com/sure-analysis-APD/","Air Products &amp; Chemicals Inc.")</f>
        <v>Air Products &amp; Chemicals Inc.</v>
      </c>
      <c r="C9">
        <v>2.5709293618437001E-2</v>
      </c>
      <c r="D9">
        <v>-0.17262244724696199</v>
      </c>
      <c r="E9">
        <v>-3.9837999922115001E-2</v>
      </c>
      <c r="F9">
        <v>-0.18964043909813899</v>
      </c>
      <c r="G9">
        <v>-0.12311150311548601</v>
      </c>
      <c r="H9">
        <v>0.27831703465288499</v>
      </c>
      <c r="I9">
        <v>1.054964636538964</v>
      </c>
    </row>
    <row r="10" spans="1:9">
      <c r="A10" s="1" t="s">
        <v>23</v>
      </c>
      <c r="B10" t="str">
        <f>HYPERLINK("https://www.suredividend.com/sure-analysis-AROW/","Arrow Financial Corp.")</f>
        <v>Arrow Financial Corp.</v>
      </c>
      <c r="C10">
        <v>-3.9447163835300003E-2</v>
      </c>
      <c r="D10">
        <v>-4.5717456848463997E-2</v>
      </c>
      <c r="E10">
        <v>9.0744101633390001E-3</v>
      </c>
      <c r="F10">
        <v>-4.5717456848463997E-2</v>
      </c>
      <c r="G10">
        <v>2.3717974290440001E-2</v>
      </c>
      <c r="H10">
        <v>0.32628842002313801</v>
      </c>
      <c r="I10">
        <v>0.33112012002426</v>
      </c>
    </row>
    <row r="11" spans="1:9">
      <c r="A11" s="1" t="s">
        <v>24</v>
      </c>
      <c r="B11" t="str">
        <f>HYPERLINK("https://www.suredividend.com/sure-analysis-ATO/","Atmos Energy Corp.")</f>
        <v>Atmos Energy Corp.</v>
      </c>
      <c r="C11">
        <v>8.6442387019891001E-2</v>
      </c>
      <c r="D11">
        <v>0.161146843144266</v>
      </c>
      <c r="E11">
        <v>0.35212681607903701</v>
      </c>
      <c r="F11">
        <v>0.13853705865118099</v>
      </c>
      <c r="G11">
        <v>0.24242224116115901</v>
      </c>
      <c r="H11">
        <v>0.27806827507152199</v>
      </c>
      <c r="I11">
        <v>0.6188779858819411</v>
      </c>
    </row>
    <row r="12" spans="1:9">
      <c r="A12" s="1" t="s">
        <v>25</v>
      </c>
      <c r="B12" t="str">
        <f>HYPERLINK("https://www.suredividend.com/sure-analysis-ATR/","Aptargroup Inc.")</f>
        <v>Aptargroup Inc.</v>
      </c>
      <c r="C12">
        <v>-3.0834091096965999E-2</v>
      </c>
      <c r="D12">
        <v>1.1093220828658001E-2</v>
      </c>
      <c r="E12">
        <v>-1.9846355649301001E-2</v>
      </c>
      <c r="F12">
        <v>-3.9676025811778003E-2</v>
      </c>
      <c r="G12">
        <v>-0.18094173536397901</v>
      </c>
      <c r="H12">
        <v>0.24772915209971599</v>
      </c>
      <c r="I12">
        <v>0.6319258367378181</v>
      </c>
    </row>
    <row r="13" spans="1:9">
      <c r="A13" s="1" t="s">
        <v>26</v>
      </c>
      <c r="B13" t="str">
        <f>HYPERLINK("https://www.suredividend.com/sure-analysis-AWR/","American States Water Co.")</f>
        <v>American States Water Co.</v>
      </c>
      <c r="C13">
        <v>4.5438153624233001E-2</v>
      </c>
      <c r="D13">
        <v>-0.129647235426569</v>
      </c>
      <c r="E13">
        <v>-9.8327965116500006E-4</v>
      </c>
      <c r="F13">
        <v>-0.155646643411432</v>
      </c>
      <c r="G13">
        <v>0.17223671175269301</v>
      </c>
      <c r="H13">
        <v>0.11018776304250399</v>
      </c>
      <c r="I13">
        <v>1.1754791457173299</v>
      </c>
    </row>
    <row r="14" spans="1:9">
      <c r="A14" s="1" t="s">
        <v>27</v>
      </c>
      <c r="B14" t="str">
        <f>HYPERLINK("https://www.suredividend.com/sure-analysis-BANF/","Bancfirst Corp.")</f>
        <v>Bancfirst Corp.</v>
      </c>
      <c r="C14">
        <v>8.2094376212023007E-2</v>
      </c>
      <c r="D14">
        <v>0.21746339973381601</v>
      </c>
      <c r="E14">
        <v>0.41787264894862203</v>
      </c>
      <c r="F14">
        <v>0.18622448979591799</v>
      </c>
      <c r="G14">
        <v>0.17239370016976599</v>
      </c>
      <c r="H14">
        <v>1.5283800847022431</v>
      </c>
      <c r="I14">
        <v>1.119373657983227</v>
      </c>
    </row>
    <row r="15" spans="1:9">
      <c r="A15" s="1" t="s">
        <v>28</v>
      </c>
      <c r="B15" t="str">
        <f>HYPERLINK("https://www.suredividend.com/sure-analysis-BDX/","Becton, Dickinson And Co.")</f>
        <v>Becton, Dickinson And Co.</v>
      </c>
      <c r="C15">
        <v>-2.2643604288198001E-2</v>
      </c>
      <c r="D15">
        <v>7.0847568575035005E-2</v>
      </c>
      <c r="E15">
        <v>5.6516704154643008E-2</v>
      </c>
      <c r="F15">
        <v>5.9903899705890003E-2</v>
      </c>
      <c r="G15">
        <v>9.8587553917297011E-2</v>
      </c>
      <c r="H15">
        <v>0.24012676208209799</v>
      </c>
      <c r="I15">
        <v>0.53880283028047904</v>
      </c>
    </row>
    <row r="16" spans="1:9">
      <c r="A16" s="1" t="s">
        <v>29</v>
      </c>
      <c r="B16" t="str">
        <f>HYPERLINK("https://www.suredividend.com/sure-analysis-BEN/","Franklin Resources, Inc.")</f>
        <v>Franklin Resources, Inc.</v>
      </c>
      <c r="C16">
        <v>-7.8781860311155E-2</v>
      </c>
      <c r="D16">
        <v>-0.160069657176832</v>
      </c>
      <c r="E16">
        <v>-0.105282785936575</v>
      </c>
      <c r="F16">
        <v>-0.16900567333532401</v>
      </c>
      <c r="G16">
        <v>-1.9020359821781001E-2</v>
      </c>
      <c r="H16">
        <v>0.66965640954877803</v>
      </c>
      <c r="I16">
        <v>-0.13417623853553501</v>
      </c>
    </row>
    <row r="17" spans="1:9">
      <c r="A17" s="1" t="s">
        <v>30</v>
      </c>
      <c r="B17" t="str">
        <f>HYPERLINK("https://www.suredividend.com/sure-analysis-BF.B/","Brown-Forman Corp.")</f>
        <v>Brown-Forman Corp.</v>
      </c>
      <c r="C17">
        <v>5.5672062883780002E-3</v>
      </c>
      <c r="D17">
        <v>-6.8181436887991012E-2</v>
      </c>
      <c r="E17">
        <v>-1.0290601844289E-2</v>
      </c>
      <c r="F17">
        <v>-8.2761980518497008E-2</v>
      </c>
      <c r="G17">
        <v>-1.6231806192499001E-2</v>
      </c>
      <c r="H17">
        <v>0.24676617101553899</v>
      </c>
      <c r="I17">
        <v>0.92777147881620603</v>
      </c>
    </row>
    <row r="18" spans="1:9">
      <c r="A18" s="1" t="s">
        <v>31</v>
      </c>
      <c r="B18" t="str">
        <f>HYPERLINK("https://www.suredividend.com/sure-analysis-BKH/","Black Hills Corporation")</f>
        <v>Black Hills Corporation</v>
      </c>
      <c r="C18">
        <v>6.4529975676062001E-2</v>
      </c>
      <c r="D18">
        <v>9.286567300107601E-2</v>
      </c>
      <c r="E18">
        <v>0.20506906471091299</v>
      </c>
      <c r="F18">
        <v>6.3752214363228005E-2</v>
      </c>
      <c r="G18">
        <v>0.15444414445447799</v>
      </c>
      <c r="H18">
        <v>0.25827220960379599</v>
      </c>
      <c r="I18">
        <v>0.31777508554910799</v>
      </c>
    </row>
    <row r="19" spans="1:9">
      <c r="A19" s="1" t="s">
        <v>32</v>
      </c>
      <c r="B19" t="str">
        <f>HYPERLINK("https://www.suredividend.com/sure-analysis-BMI/","Badger Meter Inc.")</f>
        <v>Badger Meter Inc.</v>
      </c>
      <c r="C19">
        <v>-3.7973418606969999E-3</v>
      </c>
      <c r="D19">
        <v>-5.0335369077455998E-2</v>
      </c>
      <c r="E19">
        <v>-6.2686870282406007E-2</v>
      </c>
      <c r="F19">
        <v>-6.2544961449524011E-2</v>
      </c>
      <c r="G19">
        <v>4.5553800555027002E-2</v>
      </c>
      <c r="H19">
        <v>0.88691387654900511</v>
      </c>
      <c r="I19">
        <v>1.9338881891061479</v>
      </c>
    </row>
    <row r="20" spans="1:9">
      <c r="A20" s="1" t="s">
        <v>33</v>
      </c>
      <c r="B20" t="str">
        <f>HYPERLINK("https://www.suredividend.com/sure-analysis-BRC/","Brady Corp.")</f>
        <v>Brady Corp.</v>
      </c>
      <c r="C20">
        <v>5.3763440860210001E-3</v>
      </c>
      <c r="D20">
        <v>-0.127430595736261</v>
      </c>
      <c r="E20">
        <v>-7.3277485499518E-2</v>
      </c>
      <c r="F20">
        <v>-0.12904806350590201</v>
      </c>
      <c r="G20">
        <v>-0.145605304374683</v>
      </c>
      <c r="H20">
        <v>6.5903624072321004E-2</v>
      </c>
      <c r="I20">
        <v>0.33746445348484511</v>
      </c>
    </row>
    <row r="21" spans="1:9">
      <c r="A21" s="1" t="s">
        <v>34</v>
      </c>
      <c r="B21" t="str">
        <f>HYPERLINK("https://www.suredividend.com/sure-analysis-BRO/","Brown &amp; Brown, Inc.")</f>
        <v>Brown &amp; Brown, Inc.</v>
      </c>
      <c r="C21">
        <v>4.1130344725551E-2</v>
      </c>
      <c r="D21">
        <v>3.5955929548519013E-2</v>
      </c>
      <c r="E21">
        <v>0.21502717710354899</v>
      </c>
      <c r="F21">
        <v>2.7901992470159998E-3</v>
      </c>
      <c r="G21">
        <v>0.53355314915585905</v>
      </c>
      <c r="H21">
        <v>0.98967416505502204</v>
      </c>
      <c r="I21">
        <v>2.461914999335856</v>
      </c>
    </row>
    <row r="22" spans="1:9">
      <c r="A22" s="1" t="s">
        <v>35</v>
      </c>
      <c r="B22" t="str">
        <f>HYPERLINK("https://www.suredividend.com/sure-analysis-CAH/","Cardinal Health, Inc.")</f>
        <v>Cardinal Health, Inc.</v>
      </c>
      <c r="C22">
        <v>6.937269372693701E-2</v>
      </c>
      <c r="D22">
        <v>0.152914311175471</v>
      </c>
      <c r="E22">
        <v>0.15398399235455701</v>
      </c>
      <c r="F22">
        <v>0.12565546708098599</v>
      </c>
      <c r="G22">
        <v>-2.9253047401794002E-2</v>
      </c>
      <c r="H22">
        <v>0.37518684603886399</v>
      </c>
      <c r="I22">
        <v>-0.14859987572731101</v>
      </c>
    </row>
    <row r="23" spans="1:9">
      <c r="A23" s="1" t="s">
        <v>36</v>
      </c>
      <c r="B23" t="str">
        <f>HYPERLINK("https://www.suredividend.com/sure-analysis-CAT/","Caterpillar Inc.")</f>
        <v>Caterpillar Inc.</v>
      </c>
      <c r="C23">
        <v>0.194055383299476</v>
      </c>
      <c r="D23">
        <v>8.8476216141669006E-2</v>
      </c>
      <c r="E23">
        <v>0.14664722732732999</v>
      </c>
      <c r="F23">
        <v>8.5633102088686006E-2</v>
      </c>
      <c r="G23">
        <v>-6.8854636950290002E-3</v>
      </c>
      <c r="H23">
        <v>1.1099585395414131</v>
      </c>
      <c r="I23">
        <v>1.7366545818993131</v>
      </c>
    </row>
    <row r="24" spans="1:9">
      <c r="A24" s="1" t="s">
        <v>37</v>
      </c>
      <c r="B24" t="str">
        <f>HYPERLINK("https://www.suredividend.com/sure-analysis-CB/","Chubb Limited")</f>
        <v>Chubb Limited</v>
      </c>
      <c r="C24">
        <v>5.5979828836036007E-2</v>
      </c>
      <c r="D24">
        <v>0.14671085436751</v>
      </c>
      <c r="E24">
        <v>0.24194840707485099</v>
      </c>
      <c r="F24">
        <v>0.130872326394117</v>
      </c>
      <c r="G24">
        <v>0.38651644904593402</v>
      </c>
      <c r="H24">
        <v>1.073915498752013</v>
      </c>
      <c r="I24">
        <v>0.78441939181598908</v>
      </c>
    </row>
    <row r="25" spans="1:9">
      <c r="A25" s="1" t="s">
        <v>38</v>
      </c>
      <c r="B25" t="str">
        <f>HYPERLINK("https://www.suredividend.com/sure-analysis-CBSH/","Commerce Bancshares, Inc.")</f>
        <v>Commerce Bancshares, Inc.</v>
      </c>
      <c r="C25">
        <v>2.1641525254989E-2</v>
      </c>
      <c r="D25">
        <v>7.3840934179711007E-2</v>
      </c>
      <c r="E25">
        <v>0.11752408443856099</v>
      </c>
      <c r="F25">
        <v>6.3999123799788005E-2</v>
      </c>
      <c r="G25">
        <v>-1.2596643153836001E-2</v>
      </c>
      <c r="H25">
        <v>0.59897468985026303</v>
      </c>
      <c r="I25">
        <v>0.57490186584585601</v>
      </c>
    </row>
    <row r="26" spans="1:9">
      <c r="A26" s="1" t="s">
        <v>39</v>
      </c>
      <c r="B26" t="str">
        <f>HYPERLINK("https://www.suredividend.com/sure-analysis-CBU/","Community Bank System, Inc.")</f>
        <v>Community Bank System, Inc.</v>
      </c>
      <c r="C26">
        <v>-1.5426918593934E-2</v>
      </c>
      <c r="D26">
        <v>-3.6400826872263002E-2</v>
      </c>
      <c r="E26">
        <v>6.9013359657386003E-2</v>
      </c>
      <c r="F26">
        <v>-4.0412363335755E-2</v>
      </c>
      <c r="G26">
        <v>-8.4667012837081002E-2</v>
      </c>
      <c r="H26">
        <v>0.27963109734130698</v>
      </c>
      <c r="I26">
        <v>0.50728819672826808</v>
      </c>
    </row>
    <row r="27" spans="1:9">
      <c r="A27" s="1" t="s">
        <v>40</v>
      </c>
      <c r="B27" t="str">
        <f>HYPERLINK("https://www.suredividend.com/sure-analysis-CFR/","Cullen Frost Bankers Inc.")</f>
        <v>Cullen Frost Bankers Inc.</v>
      </c>
      <c r="C27">
        <v>4.0530897673754E-2</v>
      </c>
      <c r="D27">
        <v>0.168592415929784</v>
      </c>
      <c r="E27">
        <v>0.24859466739962299</v>
      </c>
      <c r="F27">
        <v>0.163123667436924</v>
      </c>
      <c r="G27">
        <v>0.33042589686507701</v>
      </c>
      <c r="H27">
        <v>1.644310977644311</v>
      </c>
      <c r="I27">
        <v>0.94247441027745005</v>
      </c>
    </row>
    <row r="28" spans="1:9">
      <c r="A28" s="1" t="s">
        <v>41</v>
      </c>
      <c r="B28" t="str">
        <f>HYPERLINK("https://www.suredividend.com/sure-analysis-CHD/","Church &amp; Dwight Co., Inc.")</f>
        <v>Church &amp; Dwight Co., Inc.</v>
      </c>
      <c r="C28">
        <v>-7.3961499493410002E-3</v>
      </c>
      <c r="D28">
        <v>-1.302699593303E-2</v>
      </c>
      <c r="E28">
        <v>0.18713958371957401</v>
      </c>
      <c r="F28">
        <v>-4.1625743945719003E-2</v>
      </c>
      <c r="G28">
        <v>0.13441359489959601</v>
      </c>
      <c r="H28">
        <v>0.59377262264012809</v>
      </c>
      <c r="I28">
        <v>1.086159205653944</v>
      </c>
    </row>
    <row r="29" spans="1:9">
      <c r="A29" s="1" t="s">
        <v>42</v>
      </c>
      <c r="B29" t="str">
        <f>HYPERLINK("https://www.suredividend.com/sure-analysis-CINF/","Cincinnati Financial Corp.")</f>
        <v>Cincinnati Financial Corp.</v>
      </c>
      <c r="C29">
        <v>0.10146975283112</v>
      </c>
      <c r="D29">
        <v>0.22501029119610499</v>
      </c>
      <c r="E29">
        <v>0.18650149775336899</v>
      </c>
      <c r="F29">
        <v>0.20791404741651601</v>
      </c>
      <c r="G29">
        <v>0.32186410939538301</v>
      </c>
      <c r="H29">
        <v>0.83208865333654503</v>
      </c>
      <c r="I29">
        <v>1.1849157971854181</v>
      </c>
    </row>
    <row r="30" spans="1:9">
      <c r="A30" s="1" t="s">
        <v>43</v>
      </c>
      <c r="B30" t="str">
        <f>HYPERLINK("https://www.suredividend.com/sure-analysis-CL/","Colgate-Palmolive Co.")</f>
        <v>Colgate-Palmolive Co.</v>
      </c>
      <c r="C30">
        <v>-4.2999744049142002E-2</v>
      </c>
      <c r="D30">
        <v>-9.1844207197480002E-2</v>
      </c>
      <c r="E30">
        <v>-1.2900406957481E-2</v>
      </c>
      <c r="F30">
        <v>-0.118980099883481</v>
      </c>
      <c r="G30">
        <v>-3.4623428261598997E-2</v>
      </c>
      <c r="H30">
        <v>0.22622126095162501</v>
      </c>
      <c r="I30">
        <v>0.13350087763707899</v>
      </c>
    </row>
    <row r="31" spans="1:9">
      <c r="A31" s="1" t="s">
        <v>44</v>
      </c>
      <c r="B31" t="str">
        <f>HYPERLINK("https://www.suredividend.com/sure-analysis-CLX/","Clorox Co.")</f>
        <v>Clorox Co.</v>
      </c>
      <c r="C31">
        <v>-7.5348963274156008E-2</v>
      </c>
      <c r="D31">
        <v>-0.19118854268723801</v>
      </c>
      <c r="E31">
        <v>-0.159252778667718</v>
      </c>
      <c r="F31">
        <v>-0.21220203559696699</v>
      </c>
      <c r="G31">
        <v>-0.26390706435607703</v>
      </c>
      <c r="H31">
        <v>-0.174038441168548</v>
      </c>
      <c r="I31">
        <v>0.116239958053066</v>
      </c>
    </row>
    <row r="32" spans="1:9">
      <c r="A32" s="1" t="s">
        <v>45</v>
      </c>
      <c r="B32" t="str">
        <f>HYPERLINK("https://www.suredividend.com/sure-analysis-CNI/","Canadian National Railway Co.")</f>
        <v>Canadian National Railway Co.</v>
      </c>
      <c r="C32">
        <v>9.7943281396646001E-2</v>
      </c>
      <c r="D32">
        <v>0.124383187015715</v>
      </c>
      <c r="E32">
        <v>0.18636994494623099</v>
      </c>
      <c r="F32">
        <v>0.113492500259626</v>
      </c>
      <c r="G32">
        <v>0.18061492202930099</v>
      </c>
      <c r="H32">
        <v>0.80323223120358411</v>
      </c>
      <c r="I32">
        <v>1.0280262897261261</v>
      </c>
    </row>
    <row r="33" spans="1:9">
      <c r="A33" s="1" t="s">
        <v>46</v>
      </c>
      <c r="B33" t="str">
        <f>HYPERLINK("https://www.suredividend.com/sure-analysis-CSL/","Carlisle Companies Inc.")</f>
        <v>Carlisle Companies Inc.</v>
      </c>
      <c r="C33">
        <v>2.9471756233608998E-2</v>
      </c>
      <c r="D33">
        <v>2.9405765937662001E-2</v>
      </c>
      <c r="E33">
        <v>0.209141187560381</v>
      </c>
      <c r="F33">
        <v>-1.0050137583469999E-3</v>
      </c>
      <c r="G33">
        <v>0.49150485729655902</v>
      </c>
      <c r="H33">
        <v>0.96631714864533913</v>
      </c>
      <c r="I33">
        <v>1.475018139057769</v>
      </c>
    </row>
    <row r="34" spans="1:9">
      <c r="A34" s="1" t="s">
        <v>47</v>
      </c>
      <c r="B34" t="str">
        <f>HYPERLINK("https://www.suredividend.com/sure-analysis-CTAS/","Cintas Corporation")</f>
        <v>Cintas Corporation</v>
      </c>
      <c r="C34">
        <v>9.5409731792642005E-2</v>
      </c>
      <c r="D34">
        <v>-4.7429405327867998E-2</v>
      </c>
      <c r="E34">
        <v>3.4391800545475013E-2</v>
      </c>
      <c r="F34">
        <v>-6.4990321206545007E-2</v>
      </c>
      <c r="G34">
        <v>0.203661773720789</v>
      </c>
      <c r="H34">
        <v>1.175558496163349</v>
      </c>
      <c r="I34">
        <v>2.4568847055517402</v>
      </c>
    </row>
    <row r="35" spans="1:9">
      <c r="A35" s="1" t="s">
        <v>48</v>
      </c>
      <c r="B35" t="str">
        <f>HYPERLINK("https://www.suredividend.com/sure-analysis-CTBI/","Community Trust Bancorp, Inc.")</f>
        <v>Community Trust Bancorp, Inc.</v>
      </c>
      <c r="C35">
        <v>3.189055257199E-3</v>
      </c>
      <c r="D35">
        <v>-1.2353171861285E-2</v>
      </c>
      <c r="E35">
        <v>5.7451270016220003E-2</v>
      </c>
      <c r="F35">
        <v>-2.0506623329119001E-2</v>
      </c>
      <c r="G35">
        <v>-2.4375621150594998E-2</v>
      </c>
      <c r="H35">
        <v>0.42344324562554397</v>
      </c>
      <c r="I35">
        <v>0.141976474906747</v>
      </c>
    </row>
    <row r="36" spans="1:9">
      <c r="A36" s="1" t="s">
        <v>49</v>
      </c>
      <c r="B36" t="str">
        <f>HYPERLINK("https://www.suredividend.com/sure-analysis-CVX/","Chevron Corp.")</f>
        <v>Chevron Corp.</v>
      </c>
      <c r="C36">
        <v>0.20608348767630699</v>
      </c>
      <c r="D36">
        <v>0.46969848221144811</v>
      </c>
      <c r="E36">
        <v>0.720327625326035</v>
      </c>
      <c r="F36">
        <v>0.45792628478085401</v>
      </c>
      <c r="G36">
        <v>0.65189190454911705</v>
      </c>
      <c r="H36">
        <v>1.4278360124467639</v>
      </c>
      <c r="I36">
        <v>0.93366758414326312</v>
      </c>
    </row>
    <row r="37" spans="1:9">
      <c r="A37" s="1" t="s">
        <v>50</v>
      </c>
      <c r="B37" t="str">
        <f>HYPERLINK("https://www.suredividend.com/sure-analysis-CWT/","California Water Service Group")</f>
        <v>California Water Service Group</v>
      </c>
      <c r="C37">
        <v>4.0914775772735001E-2</v>
      </c>
      <c r="D37">
        <v>-0.15654940975831499</v>
      </c>
      <c r="E37">
        <v>-1.7773147071021001E-2</v>
      </c>
      <c r="F37">
        <v>-0.185893288580288</v>
      </c>
      <c r="G37">
        <v>5.5266551709147002E-2</v>
      </c>
      <c r="H37">
        <v>0.235798708626409</v>
      </c>
      <c r="I37">
        <v>0.80975515808177101</v>
      </c>
    </row>
    <row r="38" spans="1:9">
      <c r="A38" s="1" t="s">
        <v>51</v>
      </c>
      <c r="B38" t="str">
        <f>HYPERLINK("https://www.suredividend.com/sure-analysis-DCI/","Donaldson Co. Inc.")</f>
        <v>Donaldson Co. Inc.</v>
      </c>
      <c r="C38">
        <v>-2.9009608277901E-2</v>
      </c>
      <c r="D38">
        <v>-8.4651052607742E-2</v>
      </c>
      <c r="E38">
        <v>-0.11966374673119599</v>
      </c>
      <c r="F38">
        <v>-0.109673637360161</v>
      </c>
      <c r="G38">
        <v>-9.5542080958880005E-2</v>
      </c>
      <c r="H38">
        <v>0.41397616555494798</v>
      </c>
      <c r="I38">
        <v>0.266283367952307</v>
      </c>
    </row>
    <row r="39" spans="1:9">
      <c r="A39" s="1" t="s">
        <v>52</v>
      </c>
      <c r="B39" t="str">
        <f>HYPERLINK("https://www.suredividend.com/sure-analysis-DOV/","Dover Corp.")</f>
        <v>Dover Corp.</v>
      </c>
      <c r="C39">
        <v>-4.653502704062E-3</v>
      </c>
      <c r="D39">
        <v>-8.6041870692363007E-2</v>
      </c>
      <c r="E39">
        <v>-1.6330480144828002E-2</v>
      </c>
      <c r="F39">
        <v>-0.125600224511036</v>
      </c>
      <c r="G39">
        <v>0.14543425621311901</v>
      </c>
      <c r="H39">
        <v>0.91958552088222312</v>
      </c>
      <c r="I39">
        <v>1.7567612757597291</v>
      </c>
    </row>
    <row r="40" spans="1:9">
      <c r="A40" s="1" t="s">
        <v>53</v>
      </c>
      <c r="B40" t="str">
        <f>HYPERLINK("https://www.suredividend.com/sure-analysis-EBTC/","Enterprise Bancorp, Inc.")</f>
        <v>Enterprise Bancorp, Inc.</v>
      </c>
      <c r="C40">
        <v>-5.6732408083758998E-2</v>
      </c>
      <c r="D40">
        <v>-0.15421125942615599</v>
      </c>
      <c r="E40">
        <v>0.14715166446554101</v>
      </c>
      <c r="F40">
        <v>-0.133123886755636</v>
      </c>
      <c r="G40">
        <v>0.20036562504841399</v>
      </c>
      <c r="H40">
        <v>0.50951336312875206</v>
      </c>
      <c r="I40">
        <v>0.33969637237611</v>
      </c>
    </row>
    <row r="41" spans="1:9">
      <c r="A41" s="1" t="s">
        <v>54</v>
      </c>
      <c r="B41" t="str">
        <f>HYPERLINK("https://www.suredividend.com/sure-analysis-ECL/","Ecolab, Inc.")</f>
        <v>Ecolab, Inc.</v>
      </c>
      <c r="C41">
        <v>-1.1857817473852001E-2</v>
      </c>
      <c r="D41">
        <v>-0.219409319792956</v>
      </c>
      <c r="E41">
        <v>-0.20206253288419801</v>
      </c>
      <c r="F41">
        <v>-0.240538700495388</v>
      </c>
      <c r="G41">
        <v>-0.159348818406753</v>
      </c>
      <c r="H41">
        <v>0.11919252266713</v>
      </c>
      <c r="I41">
        <v>0.50953756758663504</v>
      </c>
    </row>
    <row r="42" spans="1:9">
      <c r="A42" s="1" t="s">
        <v>55</v>
      </c>
      <c r="B42" t="str">
        <f>HYPERLINK("https://www.suredividend.com/sure-analysis-ED/","Consolidated Edison, Inc.")</f>
        <v>Consolidated Edison, Inc.</v>
      </c>
      <c r="C42">
        <v>7.8426809401908007E-2</v>
      </c>
      <c r="D42">
        <v>0.116991210383149</v>
      </c>
      <c r="E42">
        <v>0.29452188730899198</v>
      </c>
      <c r="F42">
        <v>9.6699606309927008E-2</v>
      </c>
      <c r="G42">
        <v>0.29492703809891002</v>
      </c>
      <c r="H42">
        <v>0.308631062902681</v>
      </c>
      <c r="I42">
        <v>0.39573478629505299</v>
      </c>
    </row>
    <row r="43" spans="1:9">
      <c r="A43" s="1" t="s">
        <v>56</v>
      </c>
      <c r="B43" t="str">
        <f>HYPERLINK("https://www.suredividend.com/sure-analysis-EMR/","Emerson Electric Co.")</f>
        <v>Emerson Electric Co.</v>
      </c>
      <c r="C43">
        <v>6.1301443654385002E-2</v>
      </c>
      <c r="D43">
        <v>8.4883218945754013E-2</v>
      </c>
      <c r="E43">
        <v>3.3683105981112002E-2</v>
      </c>
      <c r="F43">
        <v>6.5162975017165004E-2</v>
      </c>
      <c r="G43">
        <v>9.8423225780554013E-2</v>
      </c>
      <c r="H43">
        <v>1.122593740169187</v>
      </c>
      <c r="I43">
        <v>0.93239842206751511</v>
      </c>
    </row>
    <row r="44" spans="1:9">
      <c r="A44" s="1" t="s">
        <v>57</v>
      </c>
      <c r="B44" t="str">
        <f>HYPERLINK("https://www.suredividend.com/sure-analysis-ENB/","Enbridge Inc")</f>
        <v>Enbridge Inc</v>
      </c>
      <c r="C44">
        <v>8.8262910798122013E-2</v>
      </c>
      <c r="D44">
        <v>0.239201094859293</v>
      </c>
      <c r="E44">
        <v>0.195332119780735</v>
      </c>
      <c r="F44">
        <v>0.20495706235834699</v>
      </c>
      <c r="G44">
        <v>0.33527268537853311</v>
      </c>
      <c r="H44">
        <v>0.79552126662483802</v>
      </c>
      <c r="I44">
        <v>0.55158103295938299</v>
      </c>
    </row>
    <row r="45" spans="1:9">
      <c r="A45" s="1" t="s">
        <v>58</v>
      </c>
      <c r="B45" t="str">
        <f>HYPERLINK("https://www.suredividend.com/sure-analysis-ERIE/","Erie Indemnity Co.")</f>
        <v>Erie Indemnity Co.</v>
      </c>
      <c r="C45">
        <v>4.5631232043260002E-3</v>
      </c>
      <c r="D45">
        <v>-5.6840288025489002E-2</v>
      </c>
      <c r="E45">
        <v>-3.242591815208E-3</v>
      </c>
      <c r="F45">
        <v>-6.9078820290238999E-2</v>
      </c>
      <c r="G45">
        <v>-0.182553063913238</v>
      </c>
      <c r="H45">
        <v>0.12829624230275599</v>
      </c>
      <c r="I45">
        <v>0.65040204948984803</v>
      </c>
    </row>
    <row r="46" spans="1:9">
      <c r="A46" s="1" t="s">
        <v>59</v>
      </c>
      <c r="B46" t="str">
        <f>HYPERLINK("https://www.suredividend.com/sure-analysis-ESS/","Essex Property Trust, Inc.")</f>
        <v>Essex Property Trust, Inc.</v>
      </c>
      <c r="C46">
        <v>5.1999260674018007E-2</v>
      </c>
      <c r="D46">
        <v>2.526425304882E-3</v>
      </c>
      <c r="E46">
        <v>5.5802974489140997E-2</v>
      </c>
      <c r="F46">
        <v>-3.0463049711835999E-2</v>
      </c>
      <c r="G46">
        <v>0.23380205768557499</v>
      </c>
      <c r="H46">
        <v>0.66490101029995996</v>
      </c>
      <c r="I46">
        <v>0.67655004784181605</v>
      </c>
    </row>
    <row r="47" spans="1:9">
      <c r="A47" s="1" t="s">
        <v>60</v>
      </c>
      <c r="B47" t="str">
        <f>HYPERLINK("https://www.suredividend.com/sure-analysis-EXPD/","Expeditors International Of Washington, Inc.")</f>
        <v>Expeditors International Of Washington, Inc.</v>
      </c>
      <c r="C47">
        <v>-2.3160892263881998E-2</v>
      </c>
      <c r="D47">
        <v>-0.21298562251452999</v>
      </c>
      <c r="E47">
        <v>-0.170879676440849</v>
      </c>
      <c r="F47">
        <v>-0.233673393402338</v>
      </c>
      <c r="G47">
        <v>-3.6505316494568001E-2</v>
      </c>
      <c r="H47">
        <v>0.61347220284188009</v>
      </c>
      <c r="I47">
        <v>0.93350079944086106</v>
      </c>
    </row>
    <row r="48" spans="1:9">
      <c r="A48" s="1" t="s">
        <v>61</v>
      </c>
      <c r="B48" t="str">
        <f>HYPERLINK("https://www.suredividend.com/sure-analysis-FELE/","Franklin Electric Co., Inc.")</f>
        <v>Franklin Electric Co., Inc.</v>
      </c>
      <c r="C48">
        <v>-2.0369936782953998E-2</v>
      </c>
      <c r="D48">
        <v>-8.2606021603926008E-2</v>
      </c>
      <c r="E48">
        <v>2.1301109298014001E-2</v>
      </c>
      <c r="F48">
        <v>-0.113068879189551</v>
      </c>
      <c r="G48">
        <v>5.9284754932801012E-2</v>
      </c>
      <c r="H48">
        <v>0.82859540359993811</v>
      </c>
      <c r="I48">
        <v>1.1386820831704021</v>
      </c>
    </row>
    <row r="49" spans="1:9">
      <c r="A49" s="1" t="s">
        <v>62</v>
      </c>
      <c r="B49" t="str">
        <f>HYPERLINK("https://www.suredividend.com/sure-analysis-FLIC/","First Of Long Island Corp.")</f>
        <v>First Of Long Island Corp.</v>
      </c>
      <c r="C49">
        <v>-7.7178529233323009E-2</v>
      </c>
      <c r="D49">
        <v>-2.9168146349422001E-2</v>
      </c>
      <c r="E49">
        <v>1.1141044929049999E-2</v>
      </c>
      <c r="F49">
        <v>-4.5353945760248003E-2</v>
      </c>
      <c r="G49">
        <v>1.0570275346679999E-2</v>
      </c>
      <c r="H49">
        <v>0.35883072045567499</v>
      </c>
      <c r="I49">
        <v>-9.469661372678001E-2</v>
      </c>
    </row>
    <row r="50" spans="1:9">
      <c r="A50" s="1" t="s">
        <v>63</v>
      </c>
      <c r="B50" t="str">
        <f>HYPERLINK("https://www.suredividend.com/sure-analysis-FUL/","H.B. Fuller Company")</f>
        <v>H.B. Fuller Company</v>
      </c>
      <c r="C50">
        <v>-4.3216943331425013E-2</v>
      </c>
      <c r="D50">
        <v>-0.15302117827092601</v>
      </c>
      <c r="E50">
        <v>2.2478937943205001E-2</v>
      </c>
      <c r="F50">
        <v>-0.17257493048070099</v>
      </c>
      <c r="G50">
        <v>5.9379773229983002E-2</v>
      </c>
      <c r="H50">
        <v>1.418030711810955</v>
      </c>
      <c r="I50">
        <v>0.38945749644115102</v>
      </c>
    </row>
    <row r="51" spans="1:9">
      <c r="A51" s="1" t="s">
        <v>64</v>
      </c>
      <c r="B51" t="str">
        <f>HYPERLINK("https://www.suredividend.com/sure-analysis-GD/","General Dynamics Corp.")</f>
        <v>General Dynamics Corp.</v>
      </c>
      <c r="C51">
        <v>7.1848407755065999E-2</v>
      </c>
      <c r="D51">
        <v>0.20054613155992801</v>
      </c>
      <c r="E51">
        <v>0.25223109392911802</v>
      </c>
      <c r="F51">
        <v>0.178778134427789</v>
      </c>
      <c r="G51">
        <v>0.37931345908740399</v>
      </c>
      <c r="H51">
        <v>0.93860963703826505</v>
      </c>
      <c r="I51">
        <v>0.44730623118756602</v>
      </c>
    </row>
    <row r="52" spans="1:9">
      <c r="A52" s="1" t="s">
        <v>65</v>
      </c>
      <c r="B52" t="str">
        <f>HYPERLINK("https://www.suredividend.com/sure-analysis-GGG/","Graco Inc.")</f>
        <v>Graco Inc.</v>
      </c>
      <c r="C52">
        <v>-3.8957437959239997E-2</v>
      </c>
      <c r="D52">
        <v>-0.115315306117239</v>
      </c>
      <c r="E52">
        <v>-5.1659390856694007E-2</v>
      </c>
      <c r="F52">
        <v>-0.137810945273632</v>
      </c>
      <c r="G52">
        <v>-2.6527545675406002E-2</v>
      </c>
      <c r="H52">
        <v>0.51548607270048108</v>
      </c>
      <c r="I52">
        <v>1.363015333010628</v>
      </c>
    </row>
    <row r="53" spans="1:9">
      <c r="A53" s="1" t="s">
        <v>66</v>
      </c>
      <c r="B53" t="str">
        <f>HYPERLINK("https://www.suredividend.com/sure-analysis-GPC/","Genuine Parts Co.")</f>
        <v>Genuine Parts Co.</v>
      </c>
      <c r="C53">
        <v>4.8659805589208002E-2</v>
      </c>
      <c r="D53">
        <v>-4.3601902081918012E-2</v>
      </c>
      <c r="E53">
        <v>5.9241374195515013E-2</v>
      </c>
      <c r="F53">
        <v>-7.6550606880251004E-2</v>
      </c>
      <c r="G53">
        <v>0.113451856677072</v>
      </c>
      <c r="H53">
        <v>0.98657585353678112</v>
      </c>
      <c r="I53">
        <v>0.59828905730290205</v>
      </c>
    </row>
    <row r="54" spans="1:9">
      <c r="A54" s="1" t="s">
        <v>67</v>
      </c>
      <c r="B54" t="str">
        <f>HYPERLINK("https://www.suredividend.com/sure-analysis-GWW/","W.W. Grainger Inc.")</f>
        <v>W.W. Grainger Inc.</v>
      </c>
      <c r="C54">
        <v>6.2176165803108002E-2</v>
      </c>
      <c r="D54">
        <v>1.0095771082993E-2</v>
      </c>
      <c r="E54">
        <v>0.25770182469223701</v>
      </c>
      <c r="F54">
        <v>-1.9588860469302999E-2</v>
      </c>
      <c r="G54">
        <v>0.28579779391785998</v>
      </c>
      <c r="H54">
        <v>1.0990027923141721</v>
      </c>
      <c r="I54">
        <v>1.3235580380148499</v>
      </c>
    </row>
    <row r="55" spans="1:9">
      <c r="A55" s="1" t="s">
        <v>68</v>
      </c>
      <c r="B55" t="str">
        <f>HYPERLINK("https://www.suredividend.com/sure-analysis-HRL/","Hormel Foods Corp.")</f>
        <v>Hormel Foods Corp.</v>
      </c>
      <c r="C55">
        <v>4.6223689640940001E-2</v>
      </c>
      <c r="D55">
        <v>6.6939399104781E-2</v>
      </c>
      <c r="E55">
        <v>0.256387254731896</v>
      </c>
      <c r="F55">
        <v>4.4204664114166001E-2</v>
      </c>
      <c r="G55">
        <v>8.1060334680927007E-2</v>
      </c>
      <c r="H55">
        <v>0.17799313650547299</v>
      </c>
      <c r="I55">
        <v>0.62749862770086107</v>
      </c>
    </row>
    <row r="56" spans="1:9">
      <c r="A56" s="1" t="s">
        <v>69</v>
      </c>
      <c r="B56" t="str">
        <f>HYPERLINK("https://www.suredividend.com/sure-analysis-IBM/","International Business Machines Corp.")</f>
        <v>International Business Machines Corp.</v>
      </c>
      <c r="C56">
        <v>5.7738766306973013E-2</v>
      </c>
      <c r="D56">
        <v>1.7623834787782001E-2</v>
      </c>
      <c r="E56">
        <v>-2.0248447390287999E-2</v>
      </c>
      <c r="F56">
        <v>-5.4456300182020006E-3</v>
      </c>
      <c r="G56">
        <v>1.0260275658380001E-2</v>
      </c>
      <c r="H56">
        <v>0.28819343987368101</v>
      </c>
      <c r="I56">
        <v>-4.5694071388040998E-2</v>
      </c>
    </row>
    <row r="57" spans="1:9">
      <c r="A57" s="1" t="s">
        <v>70</v>
      </c>
      <c r="B57" t="str">
        <f>HYPERLINK("https://www.suredividend.com/sure-analysis-ITW/","Illinois Tool Works, Inc.")</f>
        <v>Illinois Tool Works, Inc.</v>
      </c>
      <c r="C57">
        <v>-3.0581879778418E-2</v>
      </c>
      <c r="D57">
        <v>-0.11517330485173299</v>
      </c>
      <c r="E57">
        <v>-8.883771437130001E-3</v>
      </c>
      <c r="F57">
        <v>-0.142017828200972</v>
      </c>
      <c r="G57">
        <v>-5.0128967141415001E-2</v>
      </c>
      <c r="H57">
        <v>0.47365549379464011</v>
      </c>
      <c r="I57">
        <v>0.7942756041222151</v>
      </c>
    </row>
    <row r="58" spans="1:9">
      <c r="A58" s="1" t="s">
        <v>71</v>
      </c>
      <c r="B58" t="str">
        <f>HYPERLINK("https://www.suredividend.com/sure-analysis-JKHY/","Jack Henry &amp; Associates, Inc.")</f>
        <v>Jack Henry &amp; Associates, Inc.</v>
      </c>
      <c r="C58">
        <v>0.10112225167939</v>
      </c>
      <c r="D58">
        <v>0.17181012966642101</v>
      </c>
      <c r="E58">
        <v>0.134654377609737</v>
      </c>
      <c r="F58">
        <v>0.16086305190379899</v>
      </c>
      <c r="G58">
        <v>0.26007016610845302</v>
      </c>
      <c r="H58">
        <v>0.30556889215720001</v>
      </c>
      <c r="I58">
        <v>1.1797609410830929</v>
      </c>
    </row>
    <row r="59" spans="1:9">
      <c r="A59" s="1" t="s">
        <v>72</v>
      </c>
      <c r="B59" t="str">
        <f>HYPERLINK("https://www.suredividend.com/sure-analysis-JNJ/","Johnson &amp; Johnson")</f>
        <v>Johnson &amp; Johnson</v>
      </c>
      <c r="C59">
        <v>6.5783132530120011E-2</v>
      </c>
      <c r="D59">
        <v>5.8280181053722013E-2</v>
      </c>
      <c r="E59">
        <v>9.0423417354447005E-2</v>
      </c>
      <c r="F59">
        <v>4.0835068352601013E-2</v>
      </c>
      <c r="G59">
        <v>9.9932046929273002E-2</v>
      </c>
      <c r="H59">
        <v>0.47205165327076298</v>
      </c>
      <c r="I59">
        <v>0.60846306862606003</v>
      </c>
    </row>
    <row r="60" spans="1:9">
      <c r="A60" s="1" t="s">
        <v>73</v>
      </c>
      <c r="B60" t="str">
        <f>HYPERLINK("https://www.suredividend.com/sure-analysis-JW.A/","John Wiley &amp; Sons Inc.")</f>
        <v>John Wiley &amp; Sons Inc.</v>
      </c>
      <c r="C60">
        <v>7.0699135899450011E-2</v>
      </c>
      <c r="D60">
        <v>-1.0256875737496E-2</v>
      </c>
      <c r="E60">
        <v>-2.70542676781E-3</v>
      </c>
      <c r="F60">
        <v>-4.8018159594901001E-2</v>
      </c>
      <c r="G60">
        <v>1.9231164694071001E-2</v>
      </c>
      <c r="H60">
        <v>0.52084042333591807</v>
      </c>
      <c r="I60">
        <v>0.18753566745516201</v>
      </c>
    </row>
    <row r="61" spans="1:9">
      <c r="A61" s="1" t="s">
        <v>74</v>
      </c>
      <c r="B61" t="str">
        <f>HYPERLINK("https://www.suredividend.com/sure-analysis-KMB/","Kimberly-Clark Corp.")</f>
        <v>Kimberly-Clark Corp.</v>
      </c>
      <c r="C61">
        <v>-7.9246923805922007E-2</v>
      </c>
      <c r="D61">
        <v>-0.12618326322748399</v>
      </c>
      <c r="E61">
        <v>-7.9752723711592005E-2</v>
      </c>
      <c r="F61">
        <v>-0.150822243825846</v>
      </c>
      <c r="G61">
        <v>-9.2372320525077004E-2</v>
      </c>
      <c r="H61">
        <v>3.5231257305059001E-2</v>
      </c>
      <c r="I61">
        <v>6.0261609943963013E-2</v>
      </c>
    </row>
    <row r="62" spans="1:9">
      <c r="A62" s="1" t="s">
        <v>75</v>
      </c>
      <c r="B62" t="str">
        <f>HYPERLINK("https://www.suredividend.com/sure-analysis-KO/","Coca-Cola Co")</f>
        <v>Coca-Cola Co</v>
      </c>
      <c r="C62">
        <v>-1.3507555413042001E-2</v>
      </c>
      <c r="D62">
        <v>6.4943741270420005E-2</v>
      </c>
      <c r="E62">
        <v>0.15943175972458501</v>
      </c>
      <c r="F62">
        <v>4.7137348068931002E-2</v>
      </c>
      <c r="G62">
        <v>0.19584631441059899</v>
      </c>
      <c r="H62">
        <v>0.48045311056359702</v>
      </c>
      <c r="I62">
        <v>0.70464462329099209</v>
      </c>
    </row>
    <row r="63" spans="1:9">
      <c r="A63" s="1" t="s">
        <v>76</v>
      </c>
      <c r="B63" t="str">
        <f>HYPERLINK("https://www.suredividend.com/sure-analysis-LANC/","Lancaster Colony Corp.")</f>
        <v>Lancaster Colony Corp.</v>
      </c>
      <c r="C63">
        <v>-8.2050515617994008E-2</v>
      </c>
      <c r="D63">
        <v>-4.8482467414164003E-2</v>
      </c>
      <c r="E63">
        <v>-7.9274164630936006E-2</v>
      </c>
      <c r="F63">
        <v>-6.8248166988375006E-2</v>
      </c>
      <c r="G63">
        <v>-0.148556982914025</v>
      </c>
      <c r="H63">
        <v>0.15615510473914401</v>
      </c>
      <c r="I63">
        <v>0.28714207516976797</v>
      </c>
    </row>
    <row r="64" spans="1:9">
      <c r="A64" s="1" t="s">
        <v>77</v>
      </c>
      <c r="B64" t="str">
        <f>HYPERLINK("https://www.suredividend.com/sure-analysis-LECO/","Lincoln Electric Holdings, Inc.")</f>
        <v>Lincoln Electric Holdings, Inc.</v>
      </c>
      <c r="C64">
        <v>5.6876127716324998E-2</v>
      </c>
      <c r="D64">
        <v>-1.6738508788191001E-2</v>
      </c>
      <c r="E64">
        <v>1.9775561569175999E-2</v>
      </c>
      <c r="F64">
        <v>-3.4057503405750013E-2</v>
      </c>
      <c r="G64">
        <v>9.8684221256995011E-2</v>
      </c>
      <c r="H64">
        <v>0.91824123250416412</v>
      </c>
      <c r="I64">
        <v>0.73310314485150507</v>
      </c>
    </row>
    <row r="65" spans="1:9">
      <c r="A65" s="1" t="s">
        <v>78</v>
      </c>
      <c r="B65" t="str">
        <f>HYPERLINK("https://www.suredividend.com/sure-analysis-LEG/","Leggett &amp; Platt, Inc.")</f>
        <v>Leggett &amp; Platt, Inc.</v>
      </c>
      <c r="C65">
        <v>-2.4566180079672002E-2</v>
      </c>
      <c r="D65">
        <v>-8.0276965246384002E-2</v>
      </c>
      <c r="E65">
        <v>-0.210768825697735</v>
      </c>
      <c r="F65">
        <v>-0.115805619808707</v>
      </c>
      <c r="G65">
        <v>-0.19597473255039399</v>
      </c>
      <c r="H65">
        <v>0.28280112124735202</v>
      </c>
      <c r="I65">
        <v>-0.13709553602272201</v>
      </c>
    </row>
    <row r="66" spans="1:9">
      <c r="A66" s="1" t="s">
        <v>79</v>
      </c>
      <c r="B66" t="str">
        <f>HYPERLINK("https://www.suredividend.com/sure-analysis-LIN/","Linde Plc")</f>
        <v>Linde Plc</v>
      </c>
      <c r="C66">
        <v>7.5730059726406007E-2</v>
      </c>
      <c r="D66">
        <v>-5.6464699867914997E-2</v>
      </c>
      <c r="E66">
        <v>3.4900370465369999E-2</v>
      </c>
      <c r="F66">
        <v>-7.6238039262056009E-2</v>
      </c>
      <c r="G66">
        <v>0.14893390007439899</v>
      </c>
      <c r="H66">
        <v>0.88691196798512906</v>
      </c>
      <c r="I66">
        <v>1.0445144037752381</v>
      </c>
    </row>
    <row r="67" spans="1:9">
      <c r="A67" s="1" t="s">
        <v>80</v>
      </c>
      <c r="B67" t="str">
        <f>HYPERLINK("https://www.suredividend.com/sure-analysis-LOW/","Lowe`s Cos., Inc.")</f>
        <v>Lowe`s Cos., Inc.</v>
      </c>
      <c r="C67">
        <v>-2.8561000091249001E-2</v>
      </c>
      <c r="D67">
        <v>-0.148626494461993</v>
      </c>
      <c r="E67">
        <v>2.8003089996137001E-2</v>
      </c>
      <c r="F67">
        <v>-0.176261219436707</v>
      </c>
      <c r="G67">
        <v>0.123186532733934</v>
      </c>
      <c r="H67">
        <v>1.474654318964485</v>
      </c>
      <c r="I67">
        <v>1.78205332573752</v>
      </c>
    </row>
    <row r="68" spans="1:9">
      <c r="A68" s="1" t="s">
        <v>81</v>
      </c>
      <c r="B68" t="str">
        <f>HYPERLINK("https://www.suredividend.com/sure-analysis-MATW/","Matthews International Corp.")</f>
        <v>Matthews International Corp.</v>
      </c>
      <c r="C68">
        <v>-3.7847427557658013E-2</v>
      </c>
      <c r="D68">
        <v>-8.3429337584749005E-2</v>
      </c>
      <c r="E68">
        <v>-5.1850988505077002E-2</v>
      </c>
      <c r="F68">
        <v>-0.106924763763211</v>
      </c>
      <c r="G68">
        <v>-0.155165072540528</v>
      </c>
      <c r="H68">
        <v>0.52545789520563602</v>
      </c>
      <c r="I68">
        <v>-0.45805415794373611</v>
      </c>
    </row>
    <row r="69" spans="1:9">
      <c r="A69" s="1" t="s">
        <v>82</v>
      </c>
      <c r="B69" t="str">
        <f>HYPERLINK("https://www.suredividend.com/sure-analysis-MCD/","McDonald`s Corp")</f>
        <v>McDonald`s Corp</v>
      </c>
      <c r="C69">
        <v>-2.6161970411577001E-2</v>
      </c>
      <c r="D69">
        <v>-8.6580507239335011E-2</v>
      </c>
      <c r="E69">
        <v>-8.7224057541530012E-3</v>
      </c>
      <c r="F69">
        <v>-9.3804274026865003E-2</v>
      </c>
      <c r="G69">
        <v>9.6604511521201003E-2</v>
      </c>
      <c r="H69">
        <v>0.51240828387549109</v>
      </c>
      <c r="I69">
        <v>1.092085356528306</v>
      </c>
    </row>
    <row r="70" spans="1:9">
      <c r="A70" s="1" t="s">
        <v>83</v>
      </c>
      <c r="B70" t="str">
        <f>HYPERLINK("https://www.suredividend.com/sure-analysis-MCY/","Mercury General Corp.")</f>
        <v>Mercury General Corp.</v>
      </c>
      <c r="C70">
        <v>2.1073414307991999E-2</v>
      </c>
      <c r="D70">
        <v>8.9889706245761009E-2</v>
      </c>
      <c r="E70">
        <v>8.8477761613270003E-3</v>
      </c>
      <c r="F70">
        <v>5.1479184984427002E-2</v>
      </c>
      <c r="G70">
        <v>-6.2215607059322997E-2</v>
      </c>
      <c r="H70">
        <v>0.58116483636248906</v>
      </c>
      <c r="I70">
        <v>0.199067367880741</v>
      </c>
    </row>
    <row r="71" spans="1:9">
      <c r="A71" s="1" t="s">
        <v>84</v>
      </c>
      <c r="B71" t="str">
        <f>HYPERLINK("https://www.suredividend.com/sure-analysis-MDT/","Medtronic Plc")</f>
        <v>Medtronic Plc</v>
      </c>
      <c r="C71">
        <v>3.0871983112176E-2</v>
      </c>
      <c r="D71">
        <v>6.0325957847007998E-2</v>
      </c>
      <c r="E71">
        <v>-0.155495237494578</v>
      </c>
      <c r="F71">
        <v>5.4687993807621002E-2</v>
      </c>
      <c r="G71">
        <v>-6.4621010236906001E-2</v>
      </c>
      <c r="H71">
        <v>0.233267989611712</v>
      </c>
      <c r="I71">
        <v>0.47092329391342003</v>
      </c>
    </row>
    <row r="72" spans="1:9">
      <c r="A72" s="1" t="s">
        <v>85</v>
      </c>
      <c r="B72" t="str">
        <f>HYPERLINK("https://www.suredividend.com/sure-analysis-MDU/","MDU Resources Group Inc")</f>
        <v>MDU Resources Group Inc</v>
      </c>
      <c r="C72">
        <v>-4.5500535650517003E-2</v>
      </c>
      <c r="D72">
        <v>-0.12253405053465199</v>
      </c>
      <c r="E72">
        <v>-0.114931308873796</v>
      </c>
      <c r="F72">
        <v>-0.160944346347524</v>
      </c>
      <c r="G72">
        <v>-0.15571275808176299</v>
      </c>
      <c r="H72">
        <v>0.22859181162230599</v>
      </c>
      <c r="I72">
        <v>0.183961611221335</v>
      </c>
    </row>
    <row r="73" spans="1:9">
      <c r="A73" s="1" t="s">
        <v>86</v>
      </c>
      <c r="B73" t="str">
        <f>HYPERLINK("https://www.suredividend.com/sure-analysis-MGEE/","MGE Energy, Inc.")</f>
        <v>MGE Energy, Inc.</v>
      </c>
      <c r="C73">
        <v>7.8852430853805E-2</v>
      </c>
      <c r="D73">
        <v>9.8951320031000017E-4</v>
      </c>
      <c r="E73">
        <v>5.2774160496425998E-2</v>
      </c>
      <c r="F73">
        <v>-4.0510033087125003E-2</v>
      </c>
      <c r="G73">
        <v>0.110705503156667</v>
      </c>
      <c r="H73">
        <v>0.28345358557692402</v>
      </c>
      <c r="I73">
        <v>0.38252175490443002</v>
      </c>
    </row>
    <row r="74" spans="1:9">
      <c r="A74" s="1" t="s">
        <v>87</v>
      </c>
      <c r="B74" t="str">
        <f>HYPERLINK("https://www.suredividend.com/sure-analysis-MGRC/","McGrath Rentcorp")</f>
        <v>McGrath Rentcorp</v>
      </c>
      <c r="C74">
        <v>4.8861538461538012E-2</v>
      </c>
      <c r="D74">
        <v>7.6572855002488005E-2</v>
      </c>
      <c r="E74">
        <v>0.19308620404826099</v>
      </c>
      <c r="F74">
        <v>6.7719100419719999E-2</v>
      </c>
      <c r="G74">
        <v>6.1969840654677012E-2</v>
      </c>
      <c r="H74">
        <v>0.63331487021835609</v>
      </c>
      <c r="I74">
        <v>1.956040944739863</v>
      </c>
    </row>
    <row r="75" spans="1:9">
      <c r="A75" s="1" t="s">
        <v>88</v>
      </c>
      <c r="B75" t="str">
        <f>HYPERLINK("https://www.suredividend.com/sure-analysis-MKC/","McCormick &amp; Co., Inc.")</f>
        <v>McCormick &amp; Co., Inc.</v>
      </c>
      <c r="C75">
        <v>1.7773620205799E-2</v>
      </c>
      <c r="D75">
        <v>5.6652638394302013E-2</v>
      </c>
      <c r="E75">
        <v>0.167565711342271</v>
      </c>
      <c r="F75">
        <v>1.3559672911706001E-2</v>
      </c>
      <c r="G75">
        <v>0.102782182499639</v>
      </c>
      <c r="H75">
        <v>0.53893544392126702</v>
      </c>
      <c r="I75">
        <v>1.1031831264229559</v>
      </c>
    </row>
    <row r="76" spans="1:9">
      <c r="A76" s="1" t="s">
        <v>89</v>
      </c>
      <c r="B76" t="str">
        <f>HYPERLINK("https://www.suredividend.com/sure-analysis-MMM/","3M Co.")</f>
        <v>3M Co.</v>
      </c>
      <c r="C76">
        <v>-3.3220384027599998E-4</v>
      </c>
      <c r="D76">
        <v>-0.13176852392570301</v>
      </c>
      <c r="E76">
        <v>-0.15405042075393199</v>
      </c>
      <c r="F76">
        <v>-0.14477057274110999</v>
      </c>
      <c r="G76">
        <v>-0.20230179882375801</v>
      </c>
      <c r="H76">
        <v>0.18309323130078101</v>
      </c>
      <c r="I76">
        <v>-8.403099416059101E-2</v>
      </c>
    </row>
    <row r="77" spans="1:9">
      <c r="A77" s="1" t="s">
        <v>90</v>
      </c>
      <c r="B77" t="str">
        <f>HYPERLINK("https://www.suredividend.com/sure-analysis-MO/","Altria Group Inc.")</f>
        <v>Altria Group Inc.</v>
      </c>
      <c r="C77">
        <v>5.9486972775808007E-2</v>
      </c>
      <c r="D77">
        <v>0.167929636704617</v>
      </c>
      <c r="E77">
        <v>0.14712608759833001</v>
      </c>
      <c r="F77">
        <v>0.15092533366531699</v>
      </c>
      <c r="G77">
        <v>9.7189908799413013E-2</v>
      </c>
      <c r="H77">
        <v>0.70131485429992801</v>
      </c>
      <c r="I77">
        <v>1.1982613980155999E-2</v>
      </c>
    </row>
    <row r="78" spans="1:9">
      <c r="A78" s="1" t="s">
        <v>91</v>
      </c>
      <c r="B78" t="str">
        <f>HYPERLINK("https://www.suredividend.com/sure-analysis-MSA/","MSA Safety Inc")</f>
        <v>MSA Safety Inc</v>
      </c>
      <c r="C78">
        <v>-2.8621114411999E-2</v>
      </c>
      <c r="D78">
        <v>-8.6285559276934001E-2</v>
      </c>
      <c r="E78">
        <v>-5.3592128281118007E-2</v>
      </c>
      <c r="F78">
        <v>-0.10910387386303699</v>
      </c>
      <c r="G78">
        <v>-0.10079229012897099</v>
      </c>
      <c r="H78">
        <v>0.34912104854259501</v>
      </c>
      <c r="I78">
        <v>1.0976373024565791</v>
      </c>
    </row>
    <row r="79" spans="1:9">
      <c r="A79" s="1" t="s">
        <v>92</v>
      </c>
      <c r="B79" t="str">
        <f>HYPERLINK("https://www.suredividend.com/sure-analysis-NDSN/","Nordson Corp.")</f>
        <v>Nordson Corp.</v>
      </c>
      <c r="C79">
        <v>-3.9562178557200011E-4</v>
      </c>
      <c r="D79">
        <v>-0.101522433491324</v>
      </c>
      <c r="E79">
        <v>-6.3607950684998998E-2</v>
      </c>
      <c r="F79">
        <v>-0.107189129850978</v>
      </c>
      <c r="G79">
        <v>0.12641451955250499</v>
      </c>
      <c r="H79">
        <v>0.73893493676287303</v>
      </c>
      <c r="I79">
        <v>0.94676613380293106</v>
      </c>
    </row>
    <row r="80" spans="1:9">
      <c r="A80" s="1" t="s">
        <v>93</v>
      </c>
      <c r="B80" t="str">
        <f>HYPERLINK("https://www.suredividend.com/sure-analysis-NEE/","NextEra Energy Inc")</f>
        <v>NextEra Energy Inc</v>
      </c>
      <c r="C80">
        <v>9.3894572229100012E-2</v>
      </c>
      <c r="D80">
        <v>-6.940545718200801E-2</v>
      </c>
      <c r="E80">
        <v>5.0542166865244001E-2</v>
      </c>
      <c r="F80">
        <v>-9.592033242214501E-2</v>
      </c>
      <c r="G80">
        <v>0.149968558758132</v>
      </c>
      <c r="H80">
        <v>0.504543743614561</v>
      </c>
      <c r="I80">
        <v>1.8241896520399159</v>
      </c>
    </row>
    <row r="81" spans="1:9">
      <c r="A81" s="1" t="s">
        <v>94</v>
      </c>
      <c r="B81" t="str">
        <f>HYPERLINK("https://www.suredividend.com/sure-analysis-NFG/","National Fuel Gas Co.")</f>
        <v>National Fuel Gas Co.</v>
      </c>
      <c r="C81">
        <v>0.11655542894351199</v>
      </c>
      <c r="D81">
        <v>9.4555627011698007E-2</v>
      </c>
      <c r="E81">
        <v>0.34481230663053802</v>
      </c>
      <c r="F81">
        <v>7.2724429152330003E-2</v>
      </c>
      <c r="G81">
        <v>0.40306879107796301</v>
      </c>
      <c r="H81">
        <v>0.97624700350359606</v>
      </c>
      <c r="I81">
        <v>0.36293546771796198</v>
      </c>
    </row>
    <row r="82" spans="1:9">
      <c r="A82" s="1" t="s">
        <v>95</v>
      </c>
      <c r="B82" t="str">
        <f>HYPERLINK("https://www.suredividend.com/sure-analysis-NJR/","New Jersey Resources Corporation")</f>
        <v>New Jersey Resources Corporation</v>
      </c>
      <c r="C82">
        <v>5.5465255669763007E-2</v>
      </c>
      <c r="D82">
        <v>0.13422586343940501</v>
      </c>
      <c r="E82">
        <v>0.33567683193417802</v>
      </c>
      <c r="F82">
        <v>0.117930355296538</v>
      </c>
      <c r="G82">
        <v>0.185743981411535</v>
      </c>
      <c r="H82">
        <v>0.49793014485695303</v>
      </c>
      <c r="I82">
        <v>0.35593624240041211</v>
      </c>
    </row>
    <row r="83" spans="1:9">
      <c r="A83" s="1" t="s">
        <v>96</v>
      </c>
      <c r="B83" t="str">
        <f>HYPERLINK("https://www.suredividend.com/sure-analysis-NNN/","National Retail Properties Inc")</f>
        <v>National Retail Properties Inc</v>
      </c>
      <c r="C83">
        <v>2.6480836236933002E-2</v>
      </c>
      <c r="D83">
        <v>-3.4887327081249003E-2</v>
      </c>
      <c r="E83">
        <v>2.4869137268452999E-2</v>
      </c>
      <c r="F83">
        <v>-6.9219800195044007E-2</v>
      </c>
      <c r="G83">
        <v>4.2275977885540002E-2</v>
      </c>
      <c r="H83">
        <v>0.38295142300975699</v>
      </c>
      <c r="I83">
        <v>0.272845106934543</v>
      </c>
    </row>
    <row r="84" spans="1:9">
      <c r="A84" s="1" t="s">
        <v>97</v>
      </c>
      <c r="B84" t="str">
        <f>HYPERLINK("https://www.suredividend.com/sure-analysis-NUE/","Nucor Corp.")</f>
        <v>Nucor Corp.</v>
      </c>
      <c r="C84">
        <v>0.21199538638984999</v>
      </c>
      <c r="D84">
        <v>0.38502986750742002</v>
      </c>
      <c r="E84">
        <v>0.57485507376700207</v>
      </c>
      <c r="F84">
        <v>0.38081471747700402</v>
      </c>
      <c r="G84">
        <v>1.0231918733457761</v>
      </c>
      <c r="H84">
        <v>3.9720044792833149</v>
      </c>
      <c r="I84">
        <v>2.0255507588830688</v>
      </c>
    </row>
    <row r="85" spans="1:9">
      <c r="A85" s="1" t="s">
        <v>98</v>
      </c>
      <c r="B85" t="str">
        <f>HYPERLINK("https://www.suredividend.com/sure-analysis-NWN/","Northwest Natural Holding Co")</f>
        <v>Northwest Natural Holding Co</v>
      </c>
      <c r="C85">
        <v>0.107645875251509</v>
      </c>
      <c r="D85">
        <v>0.15197247821610599</v>
      </c>
      <c r="E85">
        <v>0.21495553991035099</v>
      </c>
      <c r="F85">
        <v>0.140164655931237</v>
      </c>
      <c r="G85">
        <v>8.7231302781574011E-2</v>
      </c>
      <c r="H85">
        <v>-4.7838134212447002E-2</v>
      </c>
      <c r="I85">
        <v>-9.0608738746179002E-2</v>
      </c>
    </row>
    <row r="86" spans="1:9">
      <c r="A86" s="1" t="s">
        <v>99</v>
      </c>
      <c r="B86" t="str">
        <f>HYPERLINK("https://www.suredividend.com/sure-analysis-O/","Realty Income Corp.")</f>
        <v>Realty Income Corp.</v>
      </c>
      <c r="C86">
        <v>1.1860885880855E-2</v>
      </c>
      <c r="D86">
        <v>-7.835109349858E-3</v>
      </c>
      <c r="E86">
        <v>4.4191024720972007E-2</v>
      </c>
      <c r="F86">
        <v>-4.3970330016658003E-2</v>
      </c>
      <c r="G86">
        <v>0.103130976307441</v>
      </c>
      <c r="H86">
        <v>0.27285567371435898</v>
      </c>
      <c r="I86">
        <v>0.41100396202437001</v>
      </c>
    </row>
    <row r="87" spans="1:9">
      <c r="A87" s="1" t="s">
        <v>100</v>
      </c>
      <c r="B87" t="str">
        <f>HYPERLINK("https://www.suredividend.com/sure-analysis-ORI/","Old Republic International Corp.")</f>
        <v>Old Republic International Corp.</v>
      </c>
      <c r="C87">
        <v>1.0433087356159999E-3</v>
      </c>
      <c r="D87">
        <v>0.10123024466663599</v>
      </c>
      <c r="E87">
        <v>0.163974781284312</v>
      </c>
      <c r="F87">
        <v>7.8829660634412005E-2</v>
      </c>
      <c r="G87">
        <v>0.30247812688881598</v>
      </c>
      <c r="H87">
        <v>1.160478608878589</v>
      </c>
      <c r="I87">
        <v>0.94214204453112305</v>
      </c>
    </row>
    <row r="88" spans="1:9">
      <c r="A88" s="1" t="s">
        <v>101</v>
      </c>
      <c r="B88" t="str">
        <f>HYPERLINK("https://www.suredividend.com/sure-analysis-OZK/","Bank OZK")</f>
        <v>Bank OZK</v>
      </c>
      <c r="C88">
        <v>-7.4387151310228009E-2</v>
      </c>
      <c r="D88">
        <v>-3.0087225717303E-2</v>
      </c>
      <c r="E88">
        <v>4.8443850805003012E-2</v>
      </c>
      <c r="F88">
        <v>-5.3018018602357997E-2</v>
      </c>
      <c r="G88">
        <v>7.6082470174335004E-2</v>
      </c>
      <c r="H88">
        <v>1.6750051912201189</v>
      </c>
      <c r="I88">
        <v>0.39442484750467899</v>
      </c>
    </row>
    <row r="89" spans="1:9">
      <c r="A89" s="1" t="s">
        <v>102</v>
      </c>
      <c r="B89" t="str">
        <f>HYPERLINK("https://www.suredividend.com/sure-analysis-PBCT/","People`s United Financial Inc")</f>
        <v>People`s United Financial Inc</v>
      </c>
      <c r="C89">
        <v>2.1728861596597999E-2</v>
      </c>
      <c r="D89">
        <v>0.25115687181860202</v>
      </c>
      <c r="E89">
        <v>0.31883810545827002</v>
      </c>
      <c r="F89">
        <v>0.225176441267431</v>
      </c>
      <c r="G89">
        <v>0.25013004126642802</v>
      </c>
      <c r="H89">
        <v>0.97747344169973105</v>
      </c>
      <c r="I89">
        <v>0.49640944751151811</v>
      </c>
    </row>
    <row r="90" spans="1:9">
      <c r="A90" s="1" t="s">
        <v>103</v>
      </c>
      <c r="B90" t="str">
        <f>HYPERLINK("https://www.suredividend.com/sure-analysis-PEP/","PepsiCo Inc")</f>
        <v>PepsiCo Inc</v>
      </c>
      <c r="C90">
        <v>-1.2193940930105999E-2</v>
      </c>
      <c r="D90">
        <v>-2.0339051381805001E-2</v>
      </c>
      <c r="E90">
        <v>8.5932170641977002E-2</v>
      </c>
      <c r="F90">
        <v>-4.2503259452411013E-2</v>
      </c>
      <c r="G90">
        <v>0.19012121604978199</v>
      </c>
      <c r="H90">
        <v>0.45510391523693811</v>
      </c>
      <c r="I90">
        <v>0.69317504134568608</v>
      </c>
    </row>
    <row r="91" spans="1:9">
      <c r="A91" s="1" t="s">
        <v>104</v>
      </c>
      <c r="B91" t="str">
        <f>HYPERLINK("https://www.suredividend.com/sure-analysis-PG/","Procter &amp; Gamble Co.")</f>
        <v>Procter &amp; Gamble Co.</v>
      </c>
      <c r="C91">
        <v>-3.4188574317491997E-2</v>
      </c>
      <c r="D91">
        <v>-4.0256115910284003E-2</v>
      </c>
      <c r="E91">
        <v>7.7027592709785001E-2</v>
      </c>
      <c r="F91">
        <v>-6.0673613121436001E-2</v>
      </c>
      <c r="G91">
        <v>0.15595875065993201</v>
      </c>
      <c r="H91">
        <v>0.49426950626433602</v>
      </c>
      <c r="I91">
        <v>0.9407649532110941</v>
      </c>
    </row>
    <row r="92" spans="1:9">
      <c r="A92" s="1" t="s">
        <v>105</v>
      </c>
      <c r="B92" t="str">
        <f>HYPERLINK("https://www.suredividend.com/sure-analysis-PH/","Parker-Hannifin Corp.")</f>
        <v>Parker-Hannifin Corp.</v>
      </c>
      <c r="C92">
        <v>-2.536997885835E-2</v>
      </c>
      <c r="D92">
        <v>-6.5744044813919003E-2</v>
      </c>
      <c r="E92">
        <v>1.5489865555897001E-2</v>
      </c>
      <c r="F92">
        <v>-8.4040390150918007E-2</v>
      </c>
      <c r="G92">
        <v>-7.3478575448187006E-2</v>
      </c>
      <c r="H92">
        <v>1.292985483995762</v>
      </c>
      <c r="I92">
        <v>1.014006439439382</v>
      </c>
    </row>
    <row r="93" spans="1:9">
      <c r="A93" s="1" t="s">
        <v>106</v>
      </c>
      <c r="B93" t="str">
        <f>HYPERLINK("https://www.suredividend.com/sure-analysis-PII/","Polaris Inc")</f>
        <v>Polaris Inc</v>
      </c>
      <c r="C93">
        <v>-0.10571836426232201</v>
      </c>
      <c r="D93">
        <v>7.5504792250660003E-3</v>
      </c>
      <c r="E93">
        <v>-0.10894990792482299</v>
      </c>
      <c r="F93">
        <v>-2.5818106977063E-2</v>
      </c>
      <c r="G93">
        <v>-0.187513493760637</v>
      </c>
      <c r="H93">
        <v>1.098584194606737</v>
      </c>
      <c r="I93">
        <v>0.42469960911058602</v>
      </c>
    </row>
    <row r="94" spans="1:9">
      <c r="A94" s="1" t="s">
        <v>107</v>
      </c>
      <c r="B94" t="str">
        <f>HYPERLINK("https://www.suredividend.com/sure-analysis-PPG/","PPG Industries, Inc.")</f>
        <v>PPG Industries, Inc.</v>
      </c>
      <c r="C94">
        <v>-8.2429654830250013E-2</v>
      </c>
      <c r="D94">
        <v>-0.22204661951433399</v>
      </c>
      <c r="E94">
        <v>-0.122098554710837</v>
      </c>
      <c r="F94">
        <v>-0.24631818925412499</v>
      </c>
      <c r="G94">
        <v>-0.15190170287866001</v>
      </c>
      <c r="H94">
        <v>0.48995037335076502</v>
      </c>
      <c r="I94">
        <v>0.35446037633199201</v>
      </c>
    </row>
    <row r="95" spans="1:9">
      <c r="A95" s="1" t="s">
        <v>108</v>
      </c>
      <c r="B95" t="str">
        <f>HYPERLINK("https://www.suredividend.com/sure-analysis-RLI/","RLI Corp.")</f>
        <v>RLI Corp.</v>
      </c>
      <c r="C95">
        <v>7.1932575460602999E-2</v>
      </c>
      <c r="D95">
        <v>2.5223454880069999E-3</v>
      </c>
      <c r="E95">
        <v>9.2849221177575006E-2</v>
      </c>
      <c r="F95">
        <v>-2.1803287485020001E-2</v>
      </c>
      <c r="G95">
        <v>-1.3858097624261E-2</v>
      </c>
      <c r="H95">
        <v>0.31331699591644602</v>
      </c>
      <c r="I95">
        <v>1.027368924426848</v>
      </c>
    </row>
    <row r="96" spans="1:9">
      <c r="A96" s="1" t="s">
        <v>109</v>
      </c>
      <c r="B96" t="str">
        <f>HYPERLINK("https://www.suredividend.com/sure-analysis-RNR/","RenaissanceRe Holdings Ltd")</f>
        <v>RenaissanceRe Holdings Ltd</v>
      </c>
      <c r="C96">
        <v>-1.6765985606959999E-3</v>
      </c>
      <c r="D96">
        <v>-8.5217626349942011E-2</v>
      </c>
      <c r="E96">
        <v>9.4867001251113012E-2</v>
      </c>
      <c r="F96">
        <v>-9.423947675854101E-2</v>
      </c>
      <c r="G96">
        <v>-6.1116716873016008E-2</v>
      </c>
      <c r="H96">
        <v>4.5726344688410997E-2</v>
      </c>
      <c r="I96">
        <v>9.8608300213013006E-2</v>
      </c>
    </row>
    <row r="97" spans="1:9">
      <c r="A97" s="1" t="s">
        <v>110</v>
      </c>
      <c r="B97" t="str">
        <f>HYPERLINK("https://www.suredividend.com/sure-analysis-ROP/","Roper Technologies Inc")</f>
        <v>Roper Technologies Inc</v>
      </c>
      <c r="C97">
        <v>3.8892110075375012E-2</v>
      </c>
      <c r="D97">
        <v>-2.4787471661143E-2</v>
      </c>
      <c r="E97">
        <v>2.2814133230749998E-3</v>
      </c>
      <c r="F97">
        <v>-5.1613433840947007E-2</v>
      </c>
      <c r="G97">
        <v>0.14112233960208401</v>
      </c>
      <c r="H97">
        <v>0.53723757226940305</v>
      </c>
      <c r="I97">
        <v>1.3144861315152361</v>
      </c>
    </row>
    <row r="98" spans="1:9">
      <c r="A98" s="1" t="s">
        <v>111</v>
      </c>
      <c r="B98" t="str">
        <f>HYPERLINK("https://www.suredividend.com/sure-analysis-RPM/","RPM International, Inc.")</f>
        <v>RPM International, Inc.</v>
      </c>
      <c r="C98">
        <v>-5.9125964010282007E-2</v>
      </c>
      <c r="D98">
        <v>-0.170633077237627</v>
      </c>
      <c r="E98">
        <v>2.5801742028442001E-2</v>
      </c>
      <c r="F98">
        <v>-0.19929197203687299</v>
      </c>
      <c r="G98">
        <v>-0.13146747695185201</v>
      </c>
      <c r="H98">
        <v>0.35826064367249899</v>
      </c>
      <c r="I98">
        <v>0.64649781816545904</v>
      </c>
    </row>
    <row r="99" spans="1:9">
      <c r="A99" s="1" t="s">
        <v>112</v>
      </c>
      <c r="B99" t="str">
        <f>HYPERLINK("https://www.suredividend.com/sure-analysis-RTX/","Raytheon Technologies Corporation")</f>
        <v>Raytheon Technologies Corporation</v>
      </c>
      <c r="C99">
        <v>4.3925805136567013E-2</v>
      </c>
      <c r="D99">
        <v>0.21318574071485899</v>
      </c>
      <c r="E99">
        <v>0.18866089685120299</v>
      </c>
      <c r="F99">
        <v>0.19683306030785999</v>
      </c>
      <c r="G99">
        <v>0.34134763335886897</v>
      </c>
      <c r="H99">
        <v>0.25341789794611003</v>
      </c>
      <c r="I99">
        <v>0.22374468501985001</v>
      </c>
    </row>
    <row r="100" spans="1:9">
      <c r="A100" s="1" t="s">
        <v>113</v>
      </c>
      <c r="B100" t="str">
        <f>HYPERLINK("https://www.suredividend.com/sure-analysis-SBSI/","Southside Bancshares Inc")</f>
        <v>Southside Bancshares Inc</v>
      </c>
      <c r="C100">
        <v>-6.9694784907470006E-3</v>
      </c>
      <c r="D100">
        <v>9.1561627642860015E-3</v>
      </c>
      <c r="E100">
        <v>0.12260339660882399</v>
      </c>
      <c r="F100">
        <v>-4.1165752407760006E-3</v>
      </c>
      <c r="G100">
        <v>6.8702684947379009E-2</v>
      </c>
      <c r="H100">
        <v>0.49879030356670012</v>
      </c>
      <c r="I100">
        <v>0.54601952354761307</v>
      </c>
    </row>
    <row r="101" spans="1:9">
      <c r="A101" s="1" t="s">
        <v>114</v>
      </c>
      <c r="B101" t="str">
        <f>HYPERLINK("https://www.suredividend.com/sure-analysis-SCL/","Stepan Co.")</f>
        <v>Stepan Co.</v>
      </c>
      <c r="C101">
        <v>-3.8513770438372001E-2</v>
      </c>
      <c r="D101">
        <v>-0.15498690895568101</v>
      </c>
      <c r="E101">
        <v>-8.8513316342525003E-2</v>
      </c>
      <c r="F101">
        <v>-0.185649216523354</v>
      </c>
      <c r="G101">
        <v>-0.21713442800530999</v>
      </c>
      <c r="H101">
        <v>0.20368658096459499</v>
      </c>
      <c r="I101">
        <v>0.35631454559631298</v>
      </c>
    </row>
    <row r="102" spans="1:9">
      <c r="A102" s="1" t="s">
        <v>115</v>
      </c>
      <c r="B102" t="str">
        <f>HYPERLINK("https://www.suredividend.com/sure-analysis-SEIC/","SEI Investments Co.")</f>
        <v>SEI Investments Co.</v>
      </c>
      <c r="C102">
        <v>2.8916482394964999E-2</v>
      </c>
      <c r="D102">
        <v>-4.7713063507730004E-3</v>
      </c>
      <c r="E102">
        <v>8.676048070942001E-3</v>
      </c>
      <c r="F102">
        <v>-7.3843124384640009E-3</v>
      </c>
      <c r="G102">
        <v>-1.1971104231160001E-3</v>
      </c>
      <c r="H102">
        <v>0.35361026139066698</v>
      </c>
      <c r="I102">
        <v>0.27405304306800499</v>
      </c>
    </row>
    <row r="103" spans="1:9">
      <c r="A103" s="1" t="s">
        <v>116</v>
      </c>
      <c r="B103" t="str">
        <f>HYPERLINK("https://www.suredividend.com/sure-analysis-SHW/","Sherwin-Williams Co.")</f>
        <v>Sherwin-Williams Co.</v>
      </c>
      <c r="C103">
        <v>-8.2538257193100012E-2</v>
      </c>
      <c r="D103">
        <v>-0.27365824051773102</v>
      </c>
      <c r="E103">
        <v>-0.156319791304323</v>
      </c>
      <c r="F103">
        <v>-0.30208001275103602</v>
      </c>
      <c r="G103">
        <v>-2.3268134227439001E-2</v>
      </c>
      <c r="H103">
        <v>0.60430291562966909</v>
      </c>
      <c r="I103">
        <v>1.4842989993303199</v>
      </c>
    </row>
    <row r="104" spans="1:9">
      <c r="A104" s="1" t="s">
        <v>117</v>
      </c>
      <c r="B104" t="str">
        <f>HYPERLINK("https://www.suredividend.com/sure-analysis-SJW/","SJW Group")</f>
        <v>SJW Group</v>
      </c>
      <c r="C104">
        <v>4.3116723129042002E-2</v>
      </c>
      <c r="D104">
        <v>-3.1132762272819001E-2</v>
      </c>
      <c r="E104">
        <v>3.8261165445858003E-2</v>
      </c>
      <c r="F104">
        <v>-6.9648625486189011E-2</v>
      </c>
      <c r="G104">
        <v>0.108696079137397</v>
      </c>
      <c r="H104">
        <v>0.233208143470131</v>
      </c>
      <c r="I104">
        <v>0.57095746309154405</v>
      </c>
    </row>
    <row r="105" spans="1:9">
      <c r="A105" s="1" t="s">
        <v>118</v>
      </c>
      <c r="B105" t="str">
        <f>HYPERLINK("https://www.suredividend.com/sure-analysis-SON/","Sonoco Products Co.")</f>
        <v>Sonoco Products Co.</v>
      </c>
      <c r="C105">
        <v>5.3070250042523998E-2</v>
      </c>
      <c r="D105">
        <v>0.115897620764239</v>
      </c>
      <c r="E105">
        <v>3.4396913684414013E-2</v>
      </c>
      <c r="F105">
        <v>6.9442045258248E-2</v>
      </c>
      <c r="G105">
        <v>-1.5673542589489001E-2</v>
      </c>
      <c r="H105">
        <v>0.48558210294692811</v>
      </c>
      <c r="I105">
        <v>0.34103600500803599</v>
      </c>
    </row>
    <row r="106" spans="1:9">
      <c r="A106" s="1" t="s">
        <v>119</v>
      </c>
      <c r="B106" t="str">
        <f>HYPERLINK("https://www.suredividend.com/sure-analysis-SPGI/","S&amp;P Global Inc")</f>
        <v>S&amp;P Global Inc</v>
      </c>
      <c r="C106">
        <v>8.5536506602956003E-2</v>
      </c>
      <c r="D106">
        <v>-0.12553732598040501</v>
      </c>
      <c r="E106">
        <v>-8.4124048948316002E-2</v>
      </c>
      <c r="F106">
        <v>-0.122183511987788</v>
      </c>
      <c r="G106">
        <v>0.15851092385551199</v>
      </c>
      <c r="H106">
        <v>0.711037551619355</v>
      </c>
      <c r="I106">
        <v>2.3239676663410789</v>
      </c>
    </row>
    <row r="107" spans="1:9">
      <c r="A107" s="1" t="s">
        <v>120</v>
      </c>
      <c r="B107" t="str">
        <f>HYPERLINK("https://www.suredividend.com/sure-analysis-SRCE/","1st Source Corp.")</f>
        <v>1st Source Corp.</v>
      </c>
      <c r="C107">
        <v>-3.4871794871789998E-3</v>
      </c>
      <c r="D107">
        <v>1.0019106783843001E-2</v>
      </c>
      <c r="E107">
        <v>5.6946299817677001E-2</v>
      </c>
      <c r="F107">
        <v>-1.4416541896425999E-2</v>
      </c>
      <c r="G107">
        <v>1.6317991631798999E-2</v>
      </c>
      <c r="H107">
        <v>0.57307955093727403</v>
      </c>
      <c r="I107">
        <v>0.188231179205709</v>
      </c>
    </row>
    <row r="108" spans="1:9">
      <c r="A108" s="1" t="s">
        <v>121</v>
      </c>
      <c r="B108" t="str">
        <f>HYPERLINK("https://www.suredividend.com/sure-analysis-SWK/","Stanley Black &amp; Decker Inc")</f>
        <v>Stanley Black &amp; Decker Inc</v>
      </c>
      <c r="C108">
        <v>-0.141396992778969</v>
      </c>
      <c r="D108">
        <v>-0.23710603299549499</v>
      </c>
      <c r="E108">
        <v>-0.246881106636125</v>
      </c>
      <c r="F108">
        <v>-0.26307270763773499</v>
      </c>
      <c r="G108">
        <v>-0.30403245567559201</v>
      </c>
      <c r="H108">
        <v>0.33424649605957402</v>
      </c>
      <c r="I108">
        <v>0.15614376905208999</v>
      </c>
    </row>
    <row r="109" spans="1:9">
      <c r="A109" s="1" t="s">
        <v>122</v>
      </c>
      <c r="B109" t="str">
        <f>HYPERLINK("https://www.suredividend.com/sure-analysis-SYK/","Stryker Corp.")</f>
        <v>Stryker Corp.</v>
      </c>
      <c r="C109">
        <v>7.9009744535100002E-4</v>
      </c>
      <c r="D109">
        <v>-5.8390139417989996E-3</v>
      </c>
      <c r="E109">
        <v>-3.3717448810636E-2</v>
      </c>
      <c r="F109">
        <v>-5.3099992521120007E-3</v>
      </c>
      <c r="G109">
        <v>0.114865048938803</v>
      </c>
      <c r="H109">
        <v>0.665298742699449</v>
      </c>
      <c r="I109">
        <v>1.1246040329137901</v>
      </c>
    </row>
    <row r="110" spans="1:9">
      <c r="A110" s="1" t="s">
        <v>123</v>
      </c>
      <c r="B110" t="str">
        <f>HYPERLINK("https://www.suredividend.com/sure-analysis-SYY/","Sysco Corp.")</f>
        <v>Sysco Corp.</v>
      </c>
      <c r="C110">
        <v>-7.2664756446991011E-2</v>
      </c>
      <c r="D110">
        <v>6.1799876116786008E-2</v>
      </c>
      <c r="E110">
        <v>1.7176721726546999E-2</v>
      </c>
      <c r="F110">
        <v>3.6116158725158012E-2</v>
      </c>
      <c r="G110">
        <v>2.7244645720575E-2</v>
      </c>
      <c r="H110">
        <v>0.59953660687102805</v>
      </c>
      <c r="I110">
        <v>0.71527786611038302</v>
      </c>
    </row>
    <row r="111" spans="1:9">
      <c r="A111" s="1" t="s">
        <v>124</v>
      </c>
      <c r="B111" t="str">
        <f>HYPERLINK("https://www.suredividend.com/sure-analysis-TDS/","Telephone And Data Systems, Inc.")</f>
        <v>Telephone And Data Systems, Inc.</v>
      </c>
      <c r="C111">
        <v>9.8524456837457003E-2</v>
      </c>
      <c r="D111">
        <v>-7.4536289335878012E-2</v>
      </c>
      <c r="E111">
        <v>3.3799737879580002E-3</v>
      </c>
      <c r="F111">
        <v>-5.2491281516815001E-2</v>
      </c>
      <c r="G111">
        <v>-0.12962630544547299</v>
      </c>
      <c r="H111">
        <v>0.167060624201541</v>
      </c>
      <c r="I111">
        <v>-0.14208847694617899</v>
      </c>
    </row>
    <row r="112" spans="1:9">
      <c r="A112" s="1" t="s">
        <v>125</v>
      </c>
      <c r="B112" t="str">
        <f>HYPERLINK("https://www.suredividend.com/sure-analysis-TGT/","Target Corp")</f>
        <v>Target Corp</v>
      </c>
      <c r="C112">
        <v>9.7329585382993009E-2</v>
      </c>
      <c r="D112">
        <v>-6.5724089698860006E-3</v>
      </c>
      <c r="E112">
        <v>-8.752665085007201E-2</v>
      </c>
      <c r="F112">
        <v>-5.1341925253849001E-2</v>
      </c>
      <c r="G112">
        <v>0.103666164839592</v>
      </c>
      <c r="H112">
        <v>1.341889516292313</v>
      </c>
      <c r="I112">
        <v>3.585874223573168</v>
      </c>
    </row>
    <row r="113" spans="1:9">
      <c r="A113" s="1" t="s">
        <v>126</v>
      </c>
      <c r="B113" t="str">
        <f>HYPERLINK("https://www.suredividend.com/sure-analysis-THFF/","First Financial Corp. - Indiana")</f>
        <v>First Financial Corp. - Indiana</v>
      </c>
      <c r="C113">
        <v>-3.9940196497223003E-2</v>
      </c>
      <c r="D113">
        <v>1.0232679397770001E-2</v>
      </c>
      <c r="E113">
        <v>0.11527115107395999</v>
      </c>
      <c r="F113">
        <v>4.2112082928410007E-3</v>
      </c>
      <c r="G113">
        <v>4.606214478398E-3</v>
      </c>
      <c r="H113">
        <v>0.42214432154698911</v>
      </c>
      <c r="I113">
        <v>0.126806462529611</v>
      </c>
    </row>
    <row r="114" spans="1:9">
      <c r="A114" s="1" t="s">
        <v>127</v>
      </c>
      <c r="B114" t="str">
        <f>HYPERLINK("https://www.suredividend.com/sure-analysis-TMP/","Tompkins Financial Corp")</f>
        <v>Tompkins Financial Corp</v>
      </c>
      <c r="C114">
        <v>1.083532820965E-2</v>
      </c>
      <c r="D114">
        <v>-1.9710861745385999E-2</v>
      </c>
      <c r="E114">
        <v>3.7354055416920003E-2</v>
      </c>
      <c r="F114">
        <v>-3.3198770862203013E-2</v>
      </c>
      <c r="G114">
        <v>-2.8246616789059001E-2</v>
      </c>
      <c r="H114">
        <v>0.19065816401490501</v>
      </c>
      <c r="I114">
        <v>0.14136380384418901</v>
      </c>
    </row>
    <row r="115" spans="1:9">
      <c r="A115" s="1" t="s">
        <v>128</v>
      </c>
      <c r="B115" t="str">
        <f>HYPERLINK("https://www.suredividend.com/sure-analysis-TNC/","Tennant Co.")</f>
        <v>Tennant Co.</v>
      </c>
      <c r="C115">
        <v>1.9376536812371E-2</v>
      </c>
      <c r="D115">
        <v>1.997503121098E-3</v>
      </c>
      <c r="E115">
        <v>0.10102063213345</v>
      </c>
      <c r="F115">
        <v>-6.4101770535959996E-3</v>
      </c>
      <c r="G115">
        <v>3.2964024586129999E-3</v>
      </c>
      <c r="H115">
        <v>0.42387013793409301</v>
      </c>
      <c r="I115">
        <v>0.20538744811096801</v>
      </c>
    </row>
    <row r="116" spans="1:9">
      <c r="A116" s="1" t="s">
        <v>129</v>
      </c>
      <c r="B116" t="str">
        <f>HYPERLINK("https://www.suredividend.com/sure-analysis-TR/","Tootsie Roll Industries, Inc.")</f>
        <v>Tootsie Roll Industries, Inc.</v>
      </c>
      <c r="C116">
        <v>6.3119712716058998E-2</v>
      </c>
      <c r="D116">
        <v>-2.7084099182142E-2</v>
      </c>
      <c r="E116">
        <v>0.206355299052737</v>
      </c>
      <c r="F116">
        <v>3.2605969400550001E-3</v>
      </c>
      <c r="G116">
        <v>9.0522676365709001E-2</v>
      </c>
      <c r="H116">
        <v>9.0755844220233001E-2</v>
      </c>
      <c r="I116">
        <v>0.11118126144327301</v>
      </c>
    </row>
    <row r="117" spans="1:9">
      <c r="A117" s="1" t="s">
        <v>130</v>
      </c>
      <c r="B117" t="str">
        <f>HYPERLINK("https://www.suredividend.com/sure-analysis-TRI/","Thomson-Reuters Corp")</f>
        <v>Thomson-Reuters Corp</v>
      </c>
      <c r="C117">
        <v>4.6941397371281002E-2</v>
      </c>
      <c r="D117">
        <v>-8.9362631203899007E-2</v>
      </c>
      <c r="E117">
        <v>-7.1770846384821008E-2</v>
      </c>
      <c r="F117">
        <v>-0.110374375019943</v>
      </c>
      <c r="G117">
        <v>0.215675024384646</v>
      </c>
      <c r="H117">
        <v>0.77848360518134008</v>
      </c>
      <c r="I117">
        <v>1.4768076908689629</v>
      </c>
    </row>
    <row r="118" spans="1:9">
      <c r="A118" s="1" t="s">
        <v>131</v>
      </c>
      <c r="B118" t="str">
        <f>HYPERLINK("https://www.suredividend.com/sure-analysis-TROW/","T. Rowe Price Group Inc.")</f>
        <v>T. Rowe Price Group Inc.</v>
      </c>
      <c r="C118">
        <v>3.4300263784071E-2</v>
      </c>
      <c r="D118">
        <v>-0.23066988340195499</v>
      </c>
      <c r="E118">
        <v>-0.284626237384764</v>
      </c>
      <c r="F118">
        <v>-0.235951528173902</v>
      </c>
      <c r="G118">
        <v>-0.12942572613622699</v>
      </c>
      <c r="H118">
        <v>0.572070103432331</v>
      </c>
      <c r="I118">
        <v>1.5507687248211779</v>
      </c>
    </row>
    <row r="119" spans="1:9">
      <c r="A119" s="1" t="s">
        <v>132</v>
      </c>
      <c r="B119" t="str">
        <f>HYPERLINK("https://www.suredividend.com/sure-analysis-UBSI/","United Bankshares, Inc.")</f>
        <v>United Bankshares, Inc.</v>
      </c>
      <c r="C119">
        <v>-1.4615161677637999E-2</v>
      </c>
      <c r="D119">
        <v>9.673213609790001E-4</v>
      </c>
      <c r="E119">
        <v>8.1365974228958013E-2</v>
      </c>
      <c r="F119">
        <v>-5.6541236108400006E-3</v>
      </c>
      <c r="G119">
        <v>-6.364830945243001E-2</v>
      </c>
      <c r="H119">
        <v>0.63227608784114309</v>
      </c>
      <c r="I119">
        <v>6.8974293713413001E-2</v>
      </c>
    </row>
    <row r="120" spans="1:9">
      <c r="A120" s="1" t="s">
        <v>133</v>
      </c>
      <c r="B120" t="str">
        <f>HYPERLINK("https://www.suredividend.com/sure-analysis-UGI/","UGI Corp.")</f>
        <v>UGI Corp.</v>
      </c>
      <c r="C120">
        <v>-6.6159227677162008E-2</v>
      </c>
      <c r="D120">
        <v>-0.20490206747671899</v>
      </c>
      <c r="E120">
        <v>-0.146067737341885</v>
      </c>
      <c r="F120">
        <v>-0.21200221872000999</v>
      </c>
      <c r="G120">
        <v>-0.10986459001556501</v>
      </c>
      <c r="H120">
        <v>0.46449419724855001</v>
      </c>
      <c r="I120">
        <v>-0.17388745947317999</v>
      </c>
    </row>
    <row r="121" spans="1:9">
      <c r="A121" s="1" t="s">
        <v>134</v>
      </c>
      <c r="B121" t="str">
        <f>HYPERLINK("https://www.suredividend.com/sure-analysis-UHT/","Universal Health Realty Income Trust")</f>
        <v>Universal Health Realty Income Trust</v>
      </c>
      <c r="C121">
        <v>3.405190876598E-2</v>
      </c>
      <c r="D121">
        <v>-1.0353655458500001E-3</v>
      </c>
      <c r="E121">
        <v>5.7089750880755998E-2</v>
      </c>
      <c r="F121">
        <v>-9.9397421214650009E-3</v>
      </c>
      <c r="G121">
        <v>-0.14286387770856701</v>
      </c>
      <c r="H121">
        <v>-0.35969677493198499</v>
      </c>
      <c r="I121">
        <v>0.15605098705453299</v>
      </c>
    </row>
    <row r="122" spans="1:9">
      <c r="A122" s="1" t="s">
        <v>135</v>
      </c>
      <c r="B122" t="str">
        <f>HYPERLINK("https://www.suredividend.com/sure-analysis-UMBF/","UMB Financial Corp.")</f>
        <v>UMB Financial Corp.</v>
      </c>
      <c r="C122">
        <v>-7.9979978120620007E-3</v>
      </c>
      <c r="D122">
        <v>-3.1669475496380002E-2</v>
      </c>
      <c r="E122">
        <v>6.9784261403949999E-2</v>
      </c>
      <c r="F122">
        <v>-4.0064329974930001E-2</v>
      </c>
      <c r="G122">
        <v>9.9229661759655002E-2</v>
      </c>
      <c r="H122">
        <v>1.154352441613588</v>
      </c>
      <c r="I122">
        <v>0.50476179177430502</v>
      </c>
    </row>
    <row r="123" spans="1:9">
      <c r="A123" s="1" t="s">
        <v>136</v>
      </c>
      <c r="B123" t="str">
        <f>HYPERLINK("https://www.suredividend.com/sure-analysis-UVV/","Universal Corp.")</f>
        <v>Universal Corp.</v>
      </c>
      <c r="C123">
        <v>6.2569213732004011E-2</v>
      </c>
      <c r="D123">
        <v>8.412770749454801E-2</v>
      </c>
      <c r="E123">
        <v>0.24570483914243901</v>
      </c>
      <c r="F123">
        <v>6.280853200609901E-2</v>
      </c>
      <c r="G123">
        <v>3.1725977021380997E-2</v>
      </c>
      <c r="H123">
        <v>0.51502392143033804</v>
      </c>
      <c r="I123">
        <v>6.460292363596E-2</v>
      </c>
    </row>
    <row r="124" spans="1:9">
      <c r="A124" s="1" t="s">
        <v>137</v>
      </c>
      <c r="B124" t="str">
        <f>HYPERLINK("https://www.suredividend.com/sure-analysis-WABC/","Westamerica Bancorporation")</f>
        <v>Westamerica Bancorporation</v>
      </c>
      <c r="C124">
        <v>4.8792841465472997E-2</v>
      </c>
      <c r="D124">
        <v>0.10046626323323</v>
      </c>
      <c r="E124">
        <v>0.13575488756721299</v>
      </c>
      <c r="F124">
        <v>8.3882224645583009E-2</v>
      </c>
      <c r="G124">
        <v>4.2033114363800001E-4</v>
      </c>
      <c r="H124">
        <v>0.113868487491393</v>
      </c>
      <c r="I124">
        <v>0.29440667123695802</v>
      </c>
    </row>
    <row r="125" spans="1:9">
      <c r="A125" s="1" t="s">
        <v>138</v>
      </c>
      <c r="B125" t="str">
        <f>HYPERLINK("https://www.suredividend.com/sure-analysis-WBA/","Walgreens Boots Alliance Inc")</f>
        <v>Walgreens Boots Alliance Inc</v>
      </c>
      <c r="C125">
        <v>1.9913419913418998E-2</v>
      </c>
      <c r="D125">
        <v>-5.7158750295138012E-2</v>
      </c>
      <c r="E125">
        <v>-5.2965005942459996E-3</v>
      </c>
      <c r="F125">
        <v>-8.7525513266898003E-2</v>
      </c>
      <c r="G125">
        <v>-5.9306418157462001E-2</v>
      </c>
      <c r="H125">
        <v>0.119851700453929</v>
      </c>
      <c r="I125">
        <v>-0.33898209976993399</v>
      </c>
    </row>
    <row r="126" spans="1:9">
      <c r="A126" s="1" t="s">
        <v>139</v>
      </c>
      <c r="B126" t="str">
        <f>HYPERLINK("https://www.suredividend.com/sure-analysis-WMT/","Walmart Inc")</f>
        <v>Walmart Inc</v>
      </c>
      <c r="C126">
        <v>5.5908301964010997E-2</v>
      </c>
      <c r="D126">
        <v>3.2366432869913003E-2</v>
      </c>
      <c r="E126">
        <v>9.8805672790239999E-3</v>
      </c>
      <c r="F126">
        <v>-4.7352262674970006E-3</v>
      </c>
      <c r="G126">
        <v>7.8121535750119001E-2</v>
      </c>
      <c r="H126">
        <v>0.34840438031677301</v>
      </c>
      <c r="I126">
        <v>1.260382870568066</v>
      </c>
    </row>
    <row r="127" spans="1:9">
      <c r="A127" s="1" t="s">
        <v>140</v>
      </c>
      <c r="B127" t="str">
        <f>HYPERLINK("https://www.suredividend.com/sure-analysis-WST/","West Pharmaceutical Services, Inc.")</f>
        <v>West Pharmaceutical Services, Inc.</v>
      </c>
      <c r="C127">
        <v>4.8567806039278003E-2</v>
      </c>
      <c r="D127">
        <v>-0.11873695198329801</v>
      </c>
      <c r="E127">
        <v>-0.113087475041632</v>
      </c>
      <c r="F127">
        <v>-0.135967250165241</v>
      </c>
      <c r="G127">
        <v>0.44775520061505603</v>
      </c>
      <c r="H127">
        <v>1.777292325026266</v>
      </c>
      <c r="I127">
        <v>4.0890879225208847</v>
      </c>
    </row>
    <row r="128" spans="1:9">
      <c r="A128" s="1" t="s">
        <v>141</v>
      </c>
      <c r="B128" t="str">
        <f>HYPERLINK("https://www.suredividend.com/sure-analysis-WTRG/","Essential Utilities Inc")</f>
        <v>Essential Utilities Inc</v>
      </c>
      <c r="C128">
        <v>5.4464851171627013E-2</v>
      </c>
      <c r="D128">
        <v>-3.7970782816367003E-2</v>
      </c>
      <c r="E128">
        <v>7.1102324045443005E-2</v>
      </c>
      <c r="F128">
        <v>-6.4310615157231008E-2</v>
      </c>
      <c r="G128">
        <v>0.15573901353799599</v>
      </c>
      <c r="H128">
        <v>0.23614135814690099</v>
      </c>
      <c r="I128">
        <v>0.67375373201845601</v>
      </c>
    </row>
    <row r="129" spans="1:9">
      <c r="A129" s="1" t="s">
        <v>142</v>
      </c>
      <c r="B129" t="str">
        <f>HYPERLINK("https://www.suredividend.com/sure-analysis-XOM/","Exxon Mobil Corp.")</f>
        <v>Exxon Mobil Corp.</v>
      </c>
      <c r="C129">
        <v>9.4552929085303009E-2</v>
      </c>
      <c r="D129">
        <v>0.41174131331709501</v>
      </c>
      <c r="E129">
        <v>0.51592791869502108</v>
      </c>
      <c r="F129">
        <v>0.40782001054212602</v>
      </c>
      <c r="G129">
        <v>0.55804257186745609</v>
      </c>
      <c r="H129">
        <v>1.5076450799238279</v>
      </c>
      <c r="I129">
        <v>0.36464980395171798</v>
      </c>
    </row>
    <row r="130" spans="1:9">
      <c r="A130" s="1" t="s">
        <v>143</v>
      </c>
      <c r="B130" t="str">
        <f>HYPERLINK("https://www.suredividend.com/sure-analysis-YORW/","York Water Co.")</f>
        <v>York Water Co.</v>
      </c>
      <c r="C130">
        <v>1.9151846785225E-2</v>
      </c>
      <c r="D130">
        <v>-7.0877303839750008E-2</v>
      </c>
      <c r="E130">
        <v>1.8508602638095999E-2</v>
      </c>
      <c r="F130">
        <v>-9.7961028687664001E-2</v>
      </c>
      <c r="G130">
        <v>-5.6151590078400003E-2</v>
      </c>
      <c r="H130">
        <v>8.6335743362294007E-2</v>
      </c>
      <c r="I130">
        <v>0.43928904916765898</v>
      </c>
    </row>
  </sheetData>
  <autoFilter ref="A1:I130"/>
  <conditionalFormatting sqref="A1:I1">
    <cfRule type="cellIs" dxfId="9" priority="10" operator="notEqual">
      <formula>-13.345</formula>
    </cfRule>
  </conditionalFormatting>
  <conditionalFormatting sqref="A2:A130">
    <cfRule type="cellIs" dxfId="8" priority="1" operator="notEqual">
      <formula>"None"</formula>
    </cfRule>
  </conditionalFormatting>
  <conditionalFormatting sqref="B2:B130">
    <cfRule type="cellIs" dxfId="7" priority="2" operator="notEqual">
      <formula>"None"</formula>
    </cfRule>
  </conditionalFormatting>
  <conditionalFormatting sqref="C2:C130">
    <cfRule type="cellIs" dxfId="6" priority="3" operator="notEqual">
      <formula>"None"</formula>
    </cfRule>
  </conditionalFormatting>
  <conditionalFormatting sqref="D2:D130">
    <cfRule type="cellIs" dxfId="5" priority="4" operator="notEqual">
      <formula>"None"</formula>
    </cfRule>
  </conditionalFormatting>
  <conditionalFormatting sqref="E2:E130">
    <cfRule type="cellIs" dxfId="4" priority="5" operator="notEqual">
      <formula>"None"</formula>
    </cfRule>
  </conditionalFormatting>
  <conditionalFormatting sqref="F2:F130">
    <cfRule type="cellIs" dxfId="3" priority="6" operator="notEqual">
      <formula>"None"</formula>
    </cfRule>
  </conditionalFormatting>
  <conditionalFormatting sqref="G2:G130">
    <cfRule type="cellIs" dxfId="2" priority="7" operator="notEqual">
      <formula>"None"</formula>
    </cfRule>
  </conditionalFormatting>
  <conditionalFormatting sqref="H2:H130">
    <cfRule type="cellIs" dxfId="1" priority="8" operator="notEqual">
      <formula>"None"</formula>
    </cfRule>
  </conditionalFormatting>
  <conditionalFormatting sqref="I2:I130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5"/>
  <cols>
    <col min="1" max="1" width="25.7109375" customWidth="1"/>
    <col min="2" max="2" width="0" hidden="1" customWidth="1"/>
  </cols>
  <sheetData>
    <row r="1" spans="1:2">
      <c r="A1" s="1" t="s">
        <v>163</v>
      </c>
      <c r="B1" s="1"/>
    </row>
    <row r="2" spans="1:2">
      <c r="A2" s="1" t="s">
        <v>164</v>
      </c>
    </row>
    <row r="3" spans="1:2">
      <c r="A3" s="1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Characteristics</vt:lpstr>
      <vt:lpstr>Performance</vt:lpstr>
      <vt:lpstr>Notes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Dell</cp:lastModifiedBy>
  <dcterms:created xsi:type="dcterms:W3CDTF">2022-03-27T12:42:43Z</dcterms:created>
  <dcterms:modified xsi:type="dcterms:W3CDTF">2022-03-28T09:48:32Z</dcterms:modified>
</cp:coreProperties>
</file>